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9345" tabRatio="666" activeTab="13"/>
  </bookViews>
  <sheets>
    <sheet name="husnegt-1 нэгтгэл " sheetId="1" r:id="rId1"/>
    <sheet name="Албадуудын төсөв" sheetId="126" r:id="rId2"/>
    <sheet name="Husnegt-2 oron too" sheetId="123" r:id="rId3"/>
    <sheet name="Husnegt-3 Tsalin (2)" sheetId="125" r:id="rId4"/>
    <sheet name="Husnegt-3 Tsalin" sheetId="124" r:id="rId5"/>
    <sheet name="Тунгалаг" sheetId="127" r:id="rId6"/>
    <sheet name="1" sheetId="128" r:id="rId7"/>
    <sheet name="2" sheetId="129" r:id="rId8"/>
    <sheet name="3" sheetId="130" r:id="rId9"/>
    <sheet name="4" sheetId="131" r:id="rId10"/>
    <sheet name="5" sheetId="132" r:id="rId11"/>
    <sheet name="6" sheetId="133" r:id="rId12"/>
    <sheet name="7" sheetId="134" r:id="rId13"/>
    <sheet name="ETTA" sheetId="135" r:id="rId14"/>
    <sheet name="EMMA" sheetId="136" r:id="rId15"/>
    <sheet name="HNBZA" sheetId="137" r:id="rId16"/>
    <sheet name="Tsalin" sheetId="88" r:id="rId17"/>
    <sheet name="Tsalin1" sheetId="89" r:id="rId18"/>
    <sheet name="husnegt-2 орон тоо" sheetId="62" r:id="rId19"/>
    <sheet name="Магадлан" sheetId="87" r:id="rId20"/>
    <sheet name="Magadlan1" sheetId="91" r:id="rId21"/>
    <sheet name="bichig hereg" sheetId="63" r:id="rId22"/>
    <sheet name="bagaj technik avah" sheetId="64" r:id="rId23"/>
    <sheet name="tavilga avah" sheetId="65" r:id="rId24"/>
    <sheet name="baga unetei turgen elegdeh" sheetId="66" r:id="rId25"/>
    <sheet name="Hudulmur hamgaalal" sheetId="67" r:id="rId26"/>
    <sheet name="Ursgal zasvar1" sheetId="93" r:id="rId27"/>
    <sheet name="Ursgal zasvar" sheetId="68" r:id="rId28"/>
    <sheet name="orlogo, zarlaga" sheetId="75" r:id="rId29"/>
    <sheet name="haruul hamgaalalt" sheetId="76" r:id="rId30"/>
    <sheet name="nemelt" sheetId="78" r:id="rId31"/>
    <sheet name="Turiin_san_surgalt" sheetId="80" r:id="rId32"/>
    <sheet name="tetgemj, shagnal" sheetId="81" r:id="rId33"/>
    <sheet name="dotood alban tomilolt" sheetId="82" r:id="rId34"/>
    <sheet name="TT-iin zasvar" sheetId="83" r:id="rId35"/>
    <sheet name="auto zasvar" sheetId="84" r:id="rId36"/>
    <sheet name="дотоод сургалт" sheetId="85" r:id="rId37"/>
    <sheet name="programm hangamj " sheetId="86" r:id="rId38"/>
    <sheet name="Niisleliin magadlan" sheetId="92" r:id="rId39"/>
    <sheet name="Sheet7" sheetId="94" r:id="rId40"/>
    <sheet name="Sheet8" sheetId="95" r:id="rId41"/>
    <sheet name="Sheet9" sheetId="96" r:id="rId42"/>
    <sheet name="Sheet10" sheetId="97" r:id="rId43"/>
    <sheet name="Sheet11" sheetId="98" r:id="rId44"/>
    <sheet name="Sheet12" sheetId="99" r:id="rId45"/>
    <sheet name="Sheet13" sheetId="100" r:id="rId46"/>
    <sheet name="Sheet14" sheetId="101" r:id="rId47"/>
    <sheet name="Sheet15" sheetId="102" r:id="rId48"/>
    <sheet name="Sheet16" sheetId="103" r:id="rId49"/>
    <sheet name="Sheet17" sheetId="104" r:id="rId50"/>
    <sheet name="Sheet18" sheetId="105" r:id="rId51"/>
    <sheet name="Sheet19" sheetId="106" r:id="rId52"/>
    <sheet name="Sheet20" sheetId="107" r:id="rId53"/>
    <sheet name="Sheet21" sheetId="108" r:id="rId54"/>
    <sheet name="Sheet22" sheetId="109" r:id="rId55"/>
    <sheet name="Sheet23" sheetId="110" r:id="rId56"/>
    <sheet name="Sheet24" sheetId="111" r:id="rId57"/>
    <sheet name="Sheet25" sheetId="112" r:id="rId58"/>
    <sheet name="Sheet26" sheetId="113" r:id="rId59"/>
    <sheet name="Sheet27" sheetId="114" r:id="rId60"/>
    <sheet name="Sheet28" sheetId="115" r:id="rId61"/>
    <sheet name="Sheet29" sheetId="116" r:id="rId62"/>
    <sheet name="Sheet30" sheetId="117" r:id="rId63"/>
    <sheet name="Sheet31" sheetId="118" r:id="rId64"/>
    <sheet name="Sheet1" sheetId="119" r:id="rId65"/>
    <sheet name="Sheet2" sheetId="120" r:id="rId66"/>
    <sheet name="Sheet3" sheetId="121" r:id="rId67"/>
    <sheet name="Sheet4" sheetId="122" r:id="rId68"/>
  </sheets>
  <externalReferences>
    <externalReference r:id="rId69"/>
    <externalReference r:id="rId70"/>
    <externalReference r:id="rId71"/>
    <externalReference r:id="rId72"/>
    <externalReference r:id="rId73"/>
    <externalReference r:id="rId74"/>
  </externalReferences>
  <definedNames>
    <definedName name="î220" localSheetId="3">#REF!</definedName>
    <definedName name="î220">#REF!</definedName>
  </definedNames>
  <calcPr calcId="144525"/>
</workbook>
</file>

<file path=xl/calcChain.xml><?xml version="1.0" encoding="utf-8"?>
<calcChain xmlns="http://schemas.openxmlformats.org/spreadsheetml/2006/main">
  <c r="AI6" i="135" l="1"/>
  <c r="AJ5" i="135"/>
  <c r="AJ6" i="135" s="1"/>
  <c r="AD23" i="135"/>
  <c r="AD19" i="135"/>
  <c r="AB19" i="135"/>
  <c r="AD18" i="135"/>
  <c r="AD20" i="135" s="1"/>
  <c r="AD15" i="135"/>
  <c r="AD14" i="135"/>
  <c r="AD16" i="135" s="1"/>
  <c r="AD12" i="135"/>
  <c r="AD10" i="135"/>
  <c r="AD7" i="135"/>
  <c r="AD6" i="135"/>
  <c r="AB6" i="135"/>
  <c r="AD5" i="135"/>
  <c r="AD8" i="135" s="1"/>
  <c r="Z13" i="135"/>
  <c r="Z8" i="135"/>
  <c r="Z7" i="135"/>
  <c r="Z6" i="135"/>
  <c r="Z5" i="135"/>
  <c r="P18" i="135"/>
  <c r="R17" i="135"/>
  <c r="R16" i="135"/>
  <c r="R15" i="135"/>
  <c r="R14" i="135"/>
  <c r="R13" i="135"/>
  <c r="R12" i="135"/>
  <c r="R11" i="135"/>
  <c r="R10" i="135"/>
  <c r="R9" i="135"/>
  <c r="R8" i="135"/>
  <c r="R7" i="135"/>
  <c r="R6" i="135"/>
  <c r="R5" i="135"/>
  <c r="N5" i="135"/>
  <c r="N6" i="135" s="1"/>
  <c r="N7" i="135" s="1"/>
  <c r="N8" i="135" s="1"/>
  <c r="N9" i="135" s="1"/>
  <c r="N10" i="135" s="1"/>
  <c r="N11" i="135" s="1"/>
  <c r="N12" i="135" s="1"/>
  <c r="N13" i="135" s="1"/>
  <c r="N14" i="135" s="1"/>
  <c r="N15" i="135" s="1"/>
  <c r="N16" i="135" s="1"/>
  <c r="N17" i="135" s="1"/>
  <c r="R4" i="135"/>
  <c r="R18" i="135" s="1"/>
  <c r="I14" i="135"/>
  <c r="F14" i="135"/>
  <c r="C14" i="135"/>
  <c r="L13" i="135"/>
  <c r="K13" i="135"/>
  <c r="H13" i="135"/>
  <c r="E13" i="135"/>
  <c r="L12" i="135"/>
  <c r="K12" i="135"/>
  <c r="H12" i="135"/>
  <c r="E12" i="135"/>
  <c r="L11" i="135"/>
  <c r="K11" i="135"/>
  <c r="H11" i="135"/>
  <c r="E11" i="135"/>
  <c r="L10" i="135"/>
  <c r="K10" i="135"/>
  <c r="H10" i="135"/>
  <c r="E10" i="135"/>
  <c r="L9" i="135"/>
  <c r="K9" i="135"/>
  <c r="E9" i="135"/>
  <c r="K8" i="135"/>
  <c r="L8" i="135" s="1"/>
  <c r="H8" i="135"/>
  <c r="E8" i="135"/>
  <c r="K7" i="135"/>
  <c r="L7" i="135" s="1"/>
  <c r="E7" i="135"/>
  <c r="K6" i="135"/>
  <c r="K14" i="135" s="1"/>
  <c r="H6" i="135"/>
  <c r="H14" i="135" s="1"/>
  <c r="E6" i="135"/>
  <c r="E14" i="135" s="1"/>
  <c r="AD24" i="135" l="1"/>
  <c r="L6" i="135"/>
  <c r="L14" i="135" s="1"/>
  <c r="F87" i="137" l="1"/>
  <c r="F73" i="137"/>
  <c r="F67" i="137"/>
  <c r="F58" i="137"/>
  <c r="C57" i="137"/>
  <c r="B57" i="137"/>
  <c r="F56" i="137"/>
  <c r="F55" i="137"/>
  <c r="F60" i="137" s="1"/>
  <c r="F51" i="137"/>
  <c r="F48" i="137"/>
  <c r="C48" i="137"/>
  <c r="F38" i="137"/>
  <c r="C38" i="137"/>
  <c r="F31" i="137"/>
  <c r="F21" i="137"/>
  <c r="E21" i="137"/>
  <c r="D21" i="137"/>
  <c r="C21" i="137"/>
  <c r="B21" i="137"/>
  <c r="F20" i="137"/>
  <c r="E20" i="137"/>
  <c r="D20" i="137"/>
  <c r="C20" i="137"/>
  <c r="B20" i="137"/>
  <c r="F19" i="137"/>
  <c r="E19" i="137"/>
  <c r="D19" i="137"/>
  <c r="C19" i="137"/>
  <c r="B19" i="137"/>
  <c r="F18" i="137"/>
  <c r="E18" i="137"/>
  <c r="D18" i="137"/>
  <c r="C18" i="137"/>
  <c r="B18" i="137"/>
  <c r="F17" i="137"/>
  <c r="E17" i="137"/>
  <c r="D17" i="137"/>
  <c r="C17" i="137"/>
  <c r="B17" i="137"/>
  <c r="F16" i="137"/>
  <c r="F22" i="137" s="1"/>
  <c r="E16" i="137"/>
  <c r="D16" i="137"/>
  <c r="C16" i="137"/>
  <c r="B16" i="137"/>
  <c r="F13" i="137"/>
  <c r="F9" i="137"/>
  <c r="W9" i="136" l="1"/>
  <c r="W8" i="136"/>
  <c r="W7" i="136"/>
  <c r="W6" i="136"/>
  <c r="W5" i="136"/>
  <c r="W10" i="136" s="1"/>
  <c r="W4" i="136"/>
  <c r="O28" i="136"/>
  <c r="O27" i="136"/>
  <c r="O26" i="136"/>
  <c r="O25" i="136"/>
  <c r="O24" i="136"/>
  <c r="O23" i="136"/>
  <c r="O22" i="136"/>
  <c r="O21" i="136"/>
  <c r="O20" i="136"/>
  <c r="O19" i="136"/>
  <c r="O18" i="136"/>
  <c r="O17" i="136"/>
  <c r="O16" i="136"/>
  <c r="O15" i="136"/>
  <c r="O14" i="136"/>
  <c r="O13" i="136"/>
  <c r="O12" i="136"/>
  <c r="O11" i="136"/>
  <c r="O10" i="136"/>
  <c r="O9" i="136"/>
  <c r="O8" i="136"/>
  <c r="O7" i="136"/>
  <c r="O6" i="136"/>
  <c r="O5" i="136"/>
  <c r="O4" i="136"/>
  <c r="O29" i="136" s="1"/>
  <c r="E34" i="126" l="1"/>
  <c r="E31" i="126"/>
  <c r="F12" i="136"/>
  <c r="F10" i="136"/>
  <c r="F6" i="136"/>
  <c r="F5" i="136"/>
  <c r="F8" i="136" s="1"/>
  <c r="F13" i="136" s="1"/>
  <c r="F4" i="136"/>
  <c r="F3" i="136"/>
  <c r="C47" i="126" l="1"/>
  <c r="D47" i="126"/>
  <c r="F47" i="126"/>
  <c r="H47" i="126"/>
  <c r="I47" i="126"/>
  <c r="C46" i="126"/>
  <c r="D46" i="126"/>
  <c r="F46" i="126"/>
  <c r="H46" i="126"/>
  <c r="I46" i="126"/>
  <c r="C45" i="126"/>
  <c r="D45" i="126"/>
  <c r="F45" i="126"/>
  <c r="H45" i="126"/>
  <c r="I45" i="126"/>
  <c r="C5" i="126"/>
  <c r="D5" i="126"/>
  <c r="F5" i="126"/>
  <c r="H5" i="126"/>
  <c r="I5" i="126"/>
  <c r="C6" i="126"/>
  <c r="D6" i="126"/>
  <c r="F6" i="126"/>
  <c r="H6" i="126"/>
  <c r="I6" i="126"/>
  <c r="C48" i="126"/>
  <c r="D48" i="126"/>
  <c r="F48" i="126"/>
  <c r="G48" i="126"/>
  <c r="H48" i="126"/>
  <c r="I48" i="126"/>
  <c r="E49" i="126"/>
  <c r="E48" i="126" s="1"/>
  <c r="D33" i="126"/>
  <c r="F33" i="126"/>
  <c r="G33" i="126"/>
  <c r="H33" i="126"/>
  <c r="D43" i="126"/>
  <c r="E43" i="126"/>
  <c r="F43" i="126"/>
  <c r="G43" i="126"/>
  <c r="H43" i="126"/>
  <c r="I43" i="126"/>
  <c r="F40" i="126"/>
  <c r="B49" i="126" l="1"/>
  <c r="B48" i="126" s="1"/>
  <c r="C44" i="126" l="1"/>
  <c r="C40" i="126"/>
  <c r="C34" i="126"/>
  <c r="C33" i="126" s="1"/>
  <c r="C43" i="126" l="1"/>
  <c r="B44" i="126"/>
  <c r="B43" i="126" s="1"/>
  <c r="E33" i="126"/>
  <c r="C30" i="126"/>
  <c r="D30" i="126"/>
  <c r="E30" i="126"/>
  <c r="F30" i="126"/>
  <c r="G30" i="126"/>
  <c r="G6" i="126" s="1"/>
  <c r="H30" i="126"/>
  <c r="I30" i="126"/>
  <c r="B32" i="126"/>
  <c r="E40" i="126"/>
  <c r="E38" i="126"/>
  <c r="C41" i="126"/>
  <c r="D41" i="126"/>
  <c r="E41" i="126"/>
  <c r="F41" i="126"/>
  <c r="G41" i="126"/>
  <c r="H41" i="126"/>
  <c r="I41" i="126"/>
  <c r="B42" i="126"/>
  <c r="B41" i="126" s="1"/>
  <c r="B31" i="126"/>
  <c r="B30" i="126" s="1"/>
  <c r="B6" i="126" s="1"/>
  <c r="I31" i="126"/>
  <c r="I40" i="126"/>
  <c r="I34" i="126"/>
  <c r="I33" i="126" s="1"/>
  <c r="B38" i="126"/>
  <c r="B33" i="126" s="1"/>
  <c r="D25" i="126"/>
  <c r="E25" i="126"/>
  <c r="F25" i="126"/>
  <c r="G25" i="126"/>
  <c r="H25" i="126"/>
  <c r="I25" i="126"/>
  <c r="C25" i="126"/>
  <c r="B29" i="126"/>
  <c r="B28" i="126"/>
  <c r="B27" i="126"/>
  <c r="B26" i="126"/>
  <c r="B25" i="126" s="1"/>
  <c r="F445" i="127"/>
  <c r="F444" i="127"/>
  <c r="F443" i="127"/>
  <c r="F442" i="127"/>
  <c r="F441" i="127"/>
  <c r="F440" i="127"/>
  <c r="F439" i="127"/>
  <c r="F438" i="127"/>
  <c r="F437" i="127"/>
  <c r="F436" i="127"/>
  <c r="F435" i="127"/>
  <c r="F434" i="127"/>
  <c r="F433" i="127"/>
  <c r="F432" i="127"/>
  <c r="F431" i="127"/>
  <c r="F430" i="127"/>
  <c r="F429" i="127"/>
  <c r="F428" i="127"/>
  <c r="F427" i="127"/>
  <c r="F426" i="127"/>
  <c r="F425" i="127"/>
  <c r="F424" i="127"/>
  <c r="F423" i="127"/>
  <c r="F422" i="127"/>
  <c r="F421" i="127"/>
  <c r="F420" i="127"/>
  <c r="F419" i="127"/>
  <c r="F418" i="127"/>
  <c r="F417" i="127"/>
  <c r="F416" i="127"/>
  <c r="F415" i="127"/>
  <c r="F414" i="127"/>
  <c r="F413" i="127"/>
  <c r="F412" i="127"/>
  <c r="F411" i="127"/>
  <c r="F410" i="127"/>
  <c r="F409" i="127"/>
  <c r="F408" i="127"/>
  <c r="F407" i="127"/>
  <c r="F406" i="127"/>
  <c r="F405" i="127"/>
  <c r="F404" i="127"/>
  <c r="F403" i="127"/>
  <c r="F402" i="127"/>
  <c r="F401" i="127"/>
  <c r="F400" i="127"/>
  <c r="F399" i="127"/>
  <c r="F398" i="127"/>
  <c r="F397" i="127"/>
  <c r="F396" i="127"/>
  <c r="F395" i="127"/>
  <c r="F394" i="127"/>
  <c r="F393" i="127"/>
  <c r="F392" i="127"/>
  <c r="F391" i="127"/>
  <c r="F390" i="127"/>
  <c r="F389" i="127"/>
  <c r="F388" i="127"/>
  <c r="F387" i="127"/>
  <c r="F386" i="127"/>
  <c r="F385" i="127"/>
  <c r="F384" i="127"/>
  <c r="F383" i="127"/>
  <c r="F382" i="127"/>
  <c r="F381" i="127"/>
  <c r="F380" i="127"/>
  <c r="F379" i="127"/>
  <c r="F378" i="127"/>
  <c r="F377" i="127"/>
  <c r="F376" i="127"/>
  <c r="F375" i="127"/>
  <c r="F374" i="127"/>
  <c r="F373" i="127"/>
  <c r="F372" i="127"/>
  <c r="F371" i="127"/>
  <c r="F370" i="127"/>
  <c r="F369" i="127"/>
  <c r="F368" i="127"/>
  <c r="F367" i="127"/>
  <c r="F366" i="127"/>
  <c r="F365" i="127"/>
  <c r="F364" i="127"/>
  <c r="F363" i="127"/>
  <c r="F446" i="127" s="1"/>
  <c r="F331" i="127"/>
  <c r="F330" i="127"/>
  <c r="F329" i="127"/>
  <c r="F328" i="127"/>
  <c r="F327" i="127"/>
  <c r="F326" i="127"/>
  <c r="F325" i="127"/>
  <c r="F324" i="127"/>
  <c r="F323" i="127"/>
  <c r="F322" i="127"/>
  <c r="F321" i="127"/>
  <c r="F320" i="127"/>
  <c r="F319" i="127"/>
  <c r="F318" i="127"/>
  <c r="F317" i="127"/>
  <c r="F316" i="127"/>
  <c r="F315" i="127"/>
  <c r="F314" i="127"/>
  <c r="F313" i="127"/>
  <c r="F312" i="127"/>
  <c r="F311" i="127"/>
  <c r="F310" i="127"/>
  <c r="F309" i="127"/>
  <c r="F308" i="127"/>
  <c r="F307" i="127"/>
  <c r="F306" i="127"/>
  <c r="F305" i="127"/>
  <c r="F304" i="127"/>
  <c r="F303" i="127"/>
  <c r="F302" i="127"/>
  <c r="F301" i="127"/>
  <c r="F300" i="127"/>
  <c r="F258" i="127"/>
  <c r="F257" i="127"/>
  <c r="F256" i="127"/>
  <c r="F255" i="127"/>
  <c r="F259" i="127" s="1"/>
  <c r="F201" i="127"/>
  <c r="F200" i="127"/>
  <c r="F199" i="127"/>
  <c r="F198" i="127"/>
  <c r="F197" i="127"/>
  <c r="F178" i="127"/>
  <c r="F179" i="127" s="1"/>
  <c r="F172" i="127"/>
  <c r="F171" i="127"/>
  <c r="F170" i="127"/>
  <c r="F169" i="127"/>
  <c r="F168" i="127"/>
  <c r="F167" i="127"/>
  <c r="F166" i="127"/>
  <c r="F173" i="127" s="1"/>
  <c r="F161" i="127"/>
  <c r="F160" i="127"/>
  <c r="F159" i="127"/>
  <c r="F158" i="127"/>
  <c r="F157" i="127"/>
  <c r="F156" i="127"/>
  <c r="F162" i="127" s="1"/>
  <c r="F139" i="127"/>
  <c r="F138" i="127"/>
  <c r="F137" i="127"/>
  <c r="F136" i="127"/>
  <c r="F135" i="127"/>
  <c r="F134" i="127"/>
  <c r="F133" i="127"/>
  <c r="F132" i="127"/>
  <c r="F131" i="127"/>
  <c r="F130" i="127"/>
  <c r="F129" i="127"/>
  <c r="F128" i="127"/>
  <c r="F140" i="127" s="1"/>
  <c r="F127" i="127"/>
  <c r="F121" i="127"/>
  <c r="F120" i="127"/>
  <c r="F119" i="127"/>
  <c r="F118" i="127"/>
  <c r="F117" i="127"/>
  <c r="F116" i="127"/>
  <c r="F115" i="127"/>
  <c r="F114" i="127"/>
  <c r="F113" i="127"/>
  <c r="F112" i="127"/>
  <c r="F111" i="127"/>
  <c r="F110" i="127"/>
  <c r="F109" i="127"/>
  <c r="F108" i="127"/>
  <c r="F107" i="127"/>
  <c r="F106" i="127"/>
  <c r="F105" i="127"/>
  <c r="F104" i="127"/>
  <c r="F103" i="127"/>
  <c r="F102" i="127"/>
  <c r="F101" i="127"/>
  <c r="F100" i="127"/>
  <c r="F99" i="127"/>
  <c r="F98" i="127"/>
  <c r="F97" i="127"/>
  <c r="F96" i="127"/>
  <c r="F95" i="127"/>
  <c r="F94" i="127"/>
  <c r="F122" i="127" s="1"/>
  <c r="F93" i="127"/>
  <c r="F92" i="127"/>
  <c r="F86" i="127"/>
  <c r="F84" i="127"/>
  <c r="F83" i="127"/>
  <c r="F78" i="127"/>
  <c r="F77" i="127"/>
  <c r="F76" i="127"/>
  <c r="F80" i="127" s="1"/>
  <c r="F71" i="127"/>
  <c r="F70" i="127"/>
  <c r="F69" i="127"/>
  <c r="F73" i="127" s="1"/>
  <c r="F63" i="127"/>
  <c r="F62" i="127"/>
  <c r="F61" i="127"/>
  <c r="F60" i="127"/>
  <c r="F59" i="127"/>
  <c r="F58" i="127"/>
  <c r="F57" i="127"/>
  <c r="F64" i="127" s="1"/>
  <c r="F16" i="127"/>
  <c r="F17" i="127" s="1"/>
  <c r="F8" i="127"/>
  <c r="F9" i="127" s="1"/>
  <c r="E6" i="126" l="1"/>
  <c r="E45" i="126"/>
  <c r="E46" i="126" s="1"/>
  <c r="E47" i="126" s="1"/>
  <c r="E5" i="126"/>
  <c r="G45" i="126"/>
  <c r="G46" i="126" s="1"/>
  <c r="G47" i="126" s="1"/>
  <c r="G5" i="126"/>
  <c r="B45" i="126"/>
  <c r="B46" i="126" s="1"/>
  <c r="B47" i="126" s="1"/>
  <c r="B5" i="126"/>
  <c r="F87" i="127"/>
  <c r="F332" i="127"/>
  <c r="C16" i="126" l="1"/>
  <c r="D16" i="126" s="1"/>
  <c r="E16" i="126" s="1"/>
  <c r="F16" i="126" s="1"/>
  <c r="G16" i="126" s="1"/>
  <c r="H16" i="126" s="1"/>
  <c r="I16" i="126" s="1"/>
  <c r="C15" i="126"/>
  <c r="D15" i="126" s="1"/>
  <c r="E15" i="126" s="1"/>
  <c r="F15" i="126" s="1"/>
  <c r="G15" i="126" s="1"/>
  <c r="H15" i="126" s="1"/>
  <c r="I15" i="126" s="1"/>
  <c r="C14" i="126"/>
  <c r="D14" i="126" s="1"/>
  <c r="E14" i="126" s="1"/>
  <c r="F14" i="126" s="1"/>
  <c r="G14" i="126" s="1"/>
  <c r="H14" i="126" s="1"/>
  <c r="I14" i="126" s="1"/>
  <c r="C23" i="126"/>
  <c r="D23" i="126"/>
  <c r="E23" i="126"/>
  <c r="F23" i="126"/>
  <c r="G23" i="126"/>
  <c r="H23" i="126"/>
  <c r="I23" i="126"/>
  <c r="B23" i="126"/>
  <c r="B17" i="126"/>
  <c r="F22" i="126"/>
  <c r="G22" i="126" s="1"/>
  <c r="H22" i="126" s="1"/>
  <c r="I22" i="126" s="1"/>
  <c r="C21" i="126"/>
  <c r="D21" i="126" s="1"/>
  <c r="E21" i="126" s="1"/>
  <c r="F21" i="126" s="1"/>
  <c r="G21" i="126" s="1"/>
  <c r="H21" i="126" s="1"/>
  <c r="I21" i="126" s="1"/>
  <c r="C20" i="126"/>
  <c r="D20" i="126" s="1"/>
  <c r="E20" i="126" s="1"/>
  <c r="F20" i="126" s="1"/>
  <c r="G20" i="126" s="1"/>
  <c r="H20" i="126" s="1"/>
  <c r="I20" i="126" s="1"/>
  <c r="C19" i="126"/>
  <c r="D19" i="126" s="1"/>
  <c r="E19" i="126" s="1"/>
  <c r="F19" i="126" s="1"/>
  <c r="G19" i="126" s="1"/>
  <c r="H19" i="126" s="1"/>
  <c r="I19" i="126" s="1"/>
  <c r="C18" i="126"/>
  <c r="D18" i="126" s="1"/>
  <c r="G12" i="126"/>
  <c r="C7" i="126"/>
  <c r="C12" i="126" s="1"/>
  <c r="D7" i="126"/>
  <c r="D12" i="126" s="1"/>
  <c r="E7" i="126"/>
  <c r="E12" i="126" s="1"/>
  <c r="F7" i="126"/>
  <c r="F12" i="126" s="1"/>
  <c r="G7" i="126"/>
  <c r="H7" i="126"/>
  <c r="H12" i="126" s="1"/>
  <c r="I7" i="126"/>
  <c r="I12" i="126" s="1"/>
  <c r="B9" i="126"/>
  <c r="B10" i="126"/>
  <c r="B11" i="126"/>
  <c r="B8" i="126"/>
  <c r="J16" i="1"/>
  <c r="J17" i="1"/>
  <c r="J23" i="1" s="1"/>
  <c r="J18" i="1"/>
  <c r="J19" i="1"/>
  <c r="J20" i="1"/>
  <c r="J21" i="1"/>
  <c r="J22" i="1"/>
  <c r="Y8" i="125"/>
  <c r="Y9" i="125"/>
  <c r="Y10" i="125"/>
  <c r="Y11" i="125"/>
  <c r="Y12" i="125"/>
  <c r="Y13" i="125"/>
  <c r="Y14" i="125"/>
  <c r="Y15" i="125"/>
  <c r="Y16" i="125"/>
  <c r="Y17" i="125"/>
  <c r="Y18" i="125"/>
  <c r="Y19" i="125"/>
  <c r="Y20" i="125"/>
  <c r="Y21" i="125"/>
  <c r="Y22" i="125"/>
  <c r="Y23" i="125"/>
  <c r="Y24" i="125"/>
  <c r="Y25" i="125"/>
  <c r="Y26" i="125"/>
  <c r="Y27" i="125"/>
  <c r="Y28" i="125"/>
  <c r="Y29" i="125"/>
  <c r="Y30" i="125"/>
  <c r="Y31" i="125"/>
  <c r="Y32" i="125"/>
  <c r="Y33" i="125"/>
  <c r="Y34" i="125"/>
  <c r="Y35" i="125"/>
  <c r="Y36" i="125"/>
  <c r="Y37" i="125"/>
  <c r="Y38" i="125"/>
  <c r="Y39" i="125"/>
  <c r="Y40" i="125"/>
  <c r="Y41" i="125"/>
  <c r="Y42" i="125"/>
  <c r="Y43" i="125"/>
  <c r="Y44" i="125"/>
  <c r="Y45" i="125"/>
  <c r="Y46" i="125"/>
  <c r="Y47" i="125"/>
  <c r="Y48" i="125"/>
  <c r="Y49" i="125"/>
  <c r="Y50" i="125"/>
  <c r="Y51" i="125"/>
  <c r="Y52" i="125"/>
  <c r="Y53" i="125"/>
  <c r="Y54" i="125"/>
  <c r="Y55" i="125"/>
  <c r="Y56" i="125"/>
  <c r="Y57" i="125"/>
  <c r="Y58" i="125"/>
  <c r="Y59" i="125"/>
  <c r="Y60" i="125"/>
  <c r="Y61" i="125"/>
  <c r="Y62" i="125"/>
  <c r="Y63" i="125"/>
  <c r="Y64" i="125"/>
  <c r="Y65" i="125"/>
  <c r="Y66" i="125"/>
  <c r="Y67" i="125"/>
  <c r="Y68" i="125"/>
  <c r="Y69" i="125"/>
  <c r="Y70" i="125"/>
  <c r="Y71" i="125"/>
  <c r="Y72" i="125"/>
  <c r="Y73" i="125"/>
  <c r="Y74" i="125"/>
  <c r="Y75" i="125"/>
  <c r="Y76" i="125"/>
  <c r="Y77" i="125"/>
  <c r="Y78" i="125"/>
  <c r="Y79" i="125"/>
  <c r="Y80" i="125"/>
  <c r="Y81" i="125"/>
  <c r="Y82" i="125"/>
  <c r="Y83" i="125"/>
  <c r="Y84" i="125"/>
  <c r="Y85" i="125"/>
  <c r="Y86" i="125"/>
  <c r="Y87" i="125"/>
  <c r="Y88" i="125"/>
  <c r="Y89" i="125"/>
  <c r="Y90" i="125"/>
  <c r="Q8" i="125"/>
  <c r="Q9" i="125"/>
  <c r="Q10" i="125"/>
  <c r="Q11" i="125"/>
  <c r="Q12" i="125"/>
  <c r="Q13" i="125"/>
  <c r="Q14" i="125"/>
  <c r="Q15" i="125"/>
  <c r="Q16" i="125"/>
  <c r="Q17" i="125"/>
  <c r="Q18" i="125"/>
  <c r="Q19" i="125"/>
  <c r="Q20" i="125"/>
  <c r="Q21" i="125"/>
  <c r="Q22" i="125"/>
  <c r="Q23" i="125"/>
  <c r="Q24" i="125"/>
  <c r="Q25" i="125"/>
  <c r="Q26" i="125"/>
  <c r="Q27" i="125"/>
  <c r="Q28" i="125"/>
  <c r="Q29" i="125"/>
  <c r="Q30" i="125"/>
  <c r="Q31" i="125"/>
  <c r="Q32" i="125"/>
  <c r="Q33" i="125"/>
  <c r="Q34" i="125"/>
  <c r="Q35" i="125"/>
  <c r="Q36" i="125"/>
  <c r="Q37" i="125"/>
  <c r="Q38" i="125"/>
  <c r="Q39" i="125"/>
  <c r="Q40" i="125"/>
  <c r="Q41" i="125"/>
  <c r="Q42" i="125"/>
  <c r="Q43" i="125"/>
  <c r="Q44" i="125"/>
  <c r="Q45" i="125"/>
  <c r="Q46" i="125"/>
  <c r="Q47" i="125"/>
  <c r="Q48" i="125"/>
  <c r="Q49" i="125"/>
  <c r="Q50" i="125"/>
  <c r="Q51" i="125"/>
  <c r="Q52" i="125"/>
  <c r="Q53" i="125"/>
  <c r="Q54" i="125"/>
  <c r="Q55" i="125"/>
  <c r="Q56" i="125"/>
  <c r="Q57" i="125"/>
  <c r="Q58" i="125"/>
  <c r="Q59" i="125"/>
  <c r="Q60" i="125"/>
  <c r="Q61" i="125"/>
  <c r="Q62" i="125"/>
  <c r="Q63" i="125"/>
  <c r="Q64" i="125"/>
  <c r="Q65" i="125"/>
  <c r="Q66" i="125"/>
  <c r="Q67" i="125"/>
  <c r="Q68" i="125"/>
  <c r="Q69" i="125"/>
  <c r="Q70" i="125"/>
  <c r="Q71" i="125"/>
  <c r="Q72" i="125"/>
  <c r="Q73" i="125"/>
  <c r="Q74" i="125"/>
  <c r="Q75" i="125"/>
  <c r="Q76" i="125"/>
  <c r="Q77" i="125"/>
  <c r="Q78" i="125"/>
  <c r="Q79" i="125"/>
  <c r="Q80" i="125"/>
  <c r="Q81" i="125"/>
  <c r="Q82" i="125"/>
  <c r="Q83" i="125"/>
  <c r="Q84" i="125"/>
  <c r="Q85" i="125"/>
  <c r="Q86" i="125"/>
  <c r="Q87" i="125"/>
  <c r="Q88" i="125"/>
  <c r="Q89" i="125"/>
  <c r="Q90" i="125"/>
  <c r="Z7" i="125"/>
  <c r="D17" i="126" l="1"/>
  <c r="E18" i="126"/>
  <c r="D13" i="126"/>
  <c r="C17" i="126"/>
  <c r="B7" i="126"/>
  <c r="E13" i="126"/>
  <c r="G13" i="126"/>
  <c r="F13" i="126"/>
  <c r="X91" i="125"/>
  <c r="W91" i="125"/>
  <c r="T91" i="125"/>
  <c r="S91" i="125"/>
  <c r="R91" i="125"/>
  <c r="O91" i="125"/>
  <c r="N91" i="125"/>
  <c r="M91" i="125"/>
  <c r="L91" i="125"/>
  <c r="G91" i="125"/>
  <c r="U90" i="125"/>
  <c r="V90" i="125" s="1"/>
  <c r="Z90" i="125"/>
  <c r="AA90" i="125" s="1"/>
  <c r="J90" i="125"/>
  <c r="H90" i="125"/>
  <c r="U89" i="125"/>
  <c r="V89" i="125" s="1"/>
  <c r="Z89" i="125"/>
  <c r="AA89" i="125" s="1"/>
  <c r="J89" i="125"/>
  <c r="H89" i="125"/>
  <c r="U88" i="125"/>
  <c r="V88" i="125" s="1"/>
  <c r="P88" i="125"/>
  <c r="P91" i="125" s="1"/>
  <c r="H88" i="125"/>
  <c r="U87" i="125"/>
  <c r="V87" i="125" s="1"/>
  <c r="J87" i="125"/>
  <c r="U86" i="125"/>
  <c r="V86" i="125" s="1"/>
  <c r="J86" i="125"/>
  <c r="H86" i="125"/>
  <c r="U85" i="125"/>
  <c r="V85" i="125" s="1"/>
  <c r="U84" i="125"/>
  <c r="V84" i="125" s="1"/>
  <c r="J84" i="125"/>
  <c r="Z84" i="125" s="1"/>
  <c r="AA84" i="125" s="1"/>
  <c r="U83" i="125"/>
  <c r="V83" i="125" s="1"/>
  <c r="Z83" i="125"/>
  <c r="AA83" i="125" s="1"/>
  <c r="H83" i="125"/>
  <c r="U82" i="125"/>
  <c r="V82" i="125" s="1"/>
  <c r="J82" i="125"/>
  <c r="Z82" i="125" s="1"/>
  <c r="AA82" i="125" s="1"/>
  <c r="H82" i="125"/>
  <c r="U81" i="125"/>
  <c r="V81" i="125" s="1"/>
  <c r="J81" i="125"/>
  <c r="Z81" i="125" s="1"/>
  <c r="AA81" i="125" s="1"/>
  <c r="H81" i="125"/>
  <c r="U80" i="125"/>
  <c r="V80" i="125" s="1"/>
  <c r="Z80" i="125"/>
  <c r="AA80" i="125" s="1"/>
  <c r="U79" i="125"/>
  <c r="V79" i="125" s="1"/>
  <c r="K79" i="125"/>
  <c r="J79" i="125"/>
  <c r="H79" i="125"/>
  <c r="Z79" i="125" s="1"/>
  <c r="AA79" i="125" s="1"/>
  <c r="V78" i="125"/>
  <c r="U78" i="125"/>
  <c r="K78" i="125"/>
  <c r="J78" i="125"/>
  <c r="Z78" i="125" s="1"/>
  <c r="AA78" i="125" s="1"/>
  <c r="H78" i="125"/>
  <c r="U77" i="125"/>
  <c r="V77" i="125" s="1"/>
  <c r="J77" i="125"/>
  <c r="H77" i="125"/>
  <c r="U76" i="125"/>
  <c r="V76" i="125" s="1"/>
  <c r="J76" i="125"/>
  <c r="H76" i="125"/>
  <c r="U75" i="125"/>
  <c r="V75" i="125" s="1"/>
  <c r="K75" i="125"/>
  <c r="J75" i="125"/>
  <c r="H75" i="125"/>
  <c r="U74" i="125"/>
  <c r="V74" i="125" s="1"/>
  <c r="Z74" i="125"/>
  <c r="AA74" i="125" s="1"/>
  <c r="K74" i="125"/>
  <c r="J74" i="125"/>
  <c r="H74" i="125"/>
  <c r="U73" i="125"/>
  <c r="V73" i="125" s="1"/>
  <c r="K73" i="125"/>
  <c r="J73" i="125"/>
  <c r="H73" i="125"/>
  <c r="V72" i="125"/>
  <c r="U72" i="125"/>
  <c r="H72" i="125"/>
  <c r="Z72" i="125" s="1"/>
  <c r="AA72" i="125" s="1"/>
  <c r="U71" i="125"/>
  <c r="V71" i="125" s="1"/>
  <c r="H71" i="125"/>
  <c r="U70" i="125"/>
  <c r="V70" i="125" s="1"/>
  <c r="V69" i="125"/>
  <c r="U69" i="125"/>
  <c r="K69" i="125"/>
  <c r="J69" i="125"/>
  <c r="Z69" i="125" s="1"/>
  <c r="AA69" i="125" s="1"/>
  <c r="H69" i="125"/>
  <c r="U68" i="125"/>
  <c r="V68" i="125" s="1"/>
  <c r="J68" i="125"/>
  <c r="H68" i="125"/>
  <c r="U67" i="125"/>
  <c r="V67" i="125" s="1"/>
  <c r="U66" i="125"/>
  <c r="V66" i="125" s="1"/>
  <c r="J66" i="125"/>
  <c r="H66" i="125"/>
  <c r="U65" i="125"/>
  <c r="V65" i="125" s="1"/>
  <c r="K65" i="125"/>
  <c r="J65" i="125"/>
  <c r="H65" i="125"/>
  <c r="V64" i="125"/>
  <c r="U64" i="125"/>
  <c r="J64" i="125"/>
  <c r="H64" i="125"/>
  <c r="Z64" i="125" s="1"/>
  <c r="AA64" i="125" s="1"/>
  <c r="V63" i="125"/>
  <c r="U63" i="125"/>
  <c r="H63" i="125"/>
  <c r="Z63" i="125" s="1"/>
  <c r="AA63" i="125" s="1"/>
  <c r="U62" i="125"/>
  <c r="V62" i="125" s="1"/>
  <c r="H62" i="125"/>
  <c r="Z62" i="125" s="1"/>
  <c r="AA62" i="125" s="1"/>
  <c r="U61" i="125"/>
  <c r="V61" i="125" s="1"/>
  <c r="J61" i="125"/>
  <c r="H61" i="125"/>
  <c r="U60" i="125"/>
  <c r="V60" i="125" s="1"/>
  <c r="Z60" i="125"/>
  <c r="AA60" i="125" s="1"/>
  <c r="J60" i="125"/>
  <c r="H60" i="125"/>
  <c r="U59" i="125"/>
  <c r="V59" i="125" s="1"/>
  <c r="Z59" i="125"/>
  <c r="AA59" i="125" s="1"/>
  <c r="V58" i="125"/>
  <c r="U58" i="125"/>
  <c r="J58" i="125"/>
  <c r="Z58" i="125" s="1"/>
  <c r="AA58" i="125" s="1"/>
  <c r="U57" i="125"/>
  <c r="V57" i="125" s="1"/>
  <c r="Z57" i="125"/>
  <c r="AA57" i="125" s="1"/>
  <c r="U56" i="125"/>
  <c r="V56" i="125" s="1"/>
  <c r="U55" i="125"/>
  <c r="V55" i="125" s="1"/>
  <c r="J55" i="125"/>
  <c r="H55" i="125"/>
  <c r="U54" i="125"/>
  <c r="V54" i="125" s="1"/>
  <c r="J54" i="125"/>
  <c r="H54" i="125"/>
  <c r="U53" i="125"/>
  <c r="V53" i="125" s="1"/>
  <c r="J53" i="125"/>
  <c r="U52" i="125"/>
  <c r="V52" i="125" s="1"/>
  <c r="Z52" i="125"/>
  <c r="AA52" i="125" s="1"/>
  <c r="K52" i="125"/>
  <c r="J52" i="125"/>
  <c r="H52" i="125"/>
  <c r="U51" i="125"/>
  <c r="V51" i="125" s="1"/>
  <c r="K51" i="125"/>
  <c r="J51" i="125"/>
  <c r="H51" i="125"/>
  <c r="Z51" i="125" s="1"/>
  <c r="AA51" i="125" s="1"/>
  <c r="V50" i="125"/>
  <c r="U50" i="125"/>
  <c r="Z50" i="125"/>
  <c r="AA50" i="125" s="1"/>
  <c r="U49" i="125"/>
  <c r="V49" i="125" s="1"/>
  <c r="Z49" i="125"/>
  <c r="AA49" i="125" s="1"/>
  <c r="K49" i="125"/>
  <c r="J49" i="125"/>
  <c r="H49" i="125"/>
  <c r="U48" i="125"/>
  <c r="V48" i="125" s="1"/>
  <c r="U47" i="125"/>
  <c r="V47" i="125" s="1"/>
  <c r="K47" i="125"/>
  <c r="Z47" i="125" s="1"/>
  <c r="AA47" i="125" s="1"/>
  <c r="J47" i="125"/>
  <c r="H47" i="125"/>
  <c r="U46" i="125"/>
  <c r="V46" i="125" s="1"/>
  <c r="J46" i="125"/>
  <c r="U45" i="125"/>
  <c r="V45" i="125" s="1"/>
  <c r="U44" i="125"/>
  <c r="V44" i="125" s="1"/>
  <c r="Z44" i="125"/>
  <c r="AA44" i="125" s="1"/>
  <c r="U43" i="125"/>
  <c r="V43" i="125" s="1"/>
  <c r="J43" i="125"/>
  <c r="Z43" i="125" s="1"/>
  <c r="AA43" i="125" s="1"/>
  <c r="H43" i="125"/>
  <c r="U42" i="125"/>
  <c r="V42" i="125" s="1"/>
  <c r="H42" i="125"/>
  <c r="Z42" i="125" s="1"/>
  <c r="AA42" i="125" s="1"/>
  <c r="V41" i="125"/>
  <c r="U41" i="125"/>
  <c r="H41" i="125"/>
  <c r="Z41" i="125" s="1"/>
  <c r="AA41" i="125" s="1"/>
  <c r="U40" i="125"/>
  <c r="V40" i="125" s="1"/>
  <c r="H40" i="125"/>
  <c r="U39" i="125"/>
  <c r="V39" i="125" s="1"/>
  <c r="H39" i="125"/>
  <c r="U38" i="125"/>
  <c r="V38" i="125" s="1"/>
  <c r="K38" i="125"/>
  <c r="J38" i="125"/>
  <c r="H38" i="125"/>
  <c r="U37" i="125"/>
  <c r="V37" i="125" s="1"/>
  <c r="Z37" i="125" s="1"/>
  <c r="AA37" i="125" s="1"/>
  <c r="H37" i="125"/>
  <c r="V36" i="125"/>
  <c r="U36" i="125"/>
  <c r="H36" i="125"/>
  <c r="Z36" i="125" s="1"/>
  <c r="AA36" i="125" s="1"/>
  <c r="U35" i="125"/>
  <c r="V35" i="125" s="1"/>
  <c r="H35" i="125"/>
  <c r="U34" i="125"/>
  <c r="V34" i="125" s="1"/>
  <c r="Z34" i="125" s="1"/>
  <c r="AA34" i="125" s="1"/>
  <c r="U33" i="125"/>
  <c r="V33" i="125" s="1"/>
  <c r="V32" i="125"/>
  <c r="U32" i="125"/>
  <c r="J32" i="125"/>
  <c r="H32" i="125"/>
  <c r="Z32" i="125" s="1"/>
  <c r="AA32" i="125" s="1"/>
  <c r="V31" i="125"/>
  <c r="U31" i="125"/>
  <c r="K31" i="125"/>
  <c r="J31" i="125"/>
  <c r="Z31" i="125" s="1"/>
  <c r="AA31" i="125" s="1"/>
  <c r="H31" i="125"/>
  <c r="U30" i="125"/>
  <c r="V30" i="125" s="1"/>
  <c r="J30" i="125"/>
  <c r="Z30" i="125" s="1"/>
  <c r="AA30" i="125" s="1"/>
  <c r="I30" i="125"/>
  <c r="I91" i="125" s="1"/>
  <c r="H30" i="125"/>
  <c r="U29" i="125"/>
  <c r="V29" i="125" s="1"/>
  <c r="Z29" i="125"/>
  <c r="AA29" i="125" s="1"/>
  <c r="V28" i="125"/>
  <c r="U28" i="125"/>
  <c r="H28" i="125"/>
  <c r="Z28" i="125" s="1"/>
  <c r="AA28" i="125" s="1"/>
  <c r="U27" i="125"/>
  <c r="V27" i="125" s="1"/>
  <c r="H27" i="125"/>
  <c r="Z27" i="125" s="1"/>
  <c r="AA27" i="125" s="1"/>
  <c r="U26" i="125"/>
  <c r="V26" i="125" s="1"/>
  <c r="J26" i="125"/>
  <c r="H26" i="125"/>
  <c r="U25" i="125"/>
  <c r="V25" i="125" s="1"/>
  <c r="Z25" i="125"/>
  <c r="AA25" i="125" s="1"/>
  <c r="J25" i="125"/>
  <c r="H25" i="125"/>
  <c r="U24" i="125"/>
  <c r="V24" i="125" s="1"/>
  <c r="Z24" i="125"/>
  <c r="AA24" i="125" s="1"/>
  <c r="J24" i="125"/>
  <c r="H24" i="125"/>
  <c r="U23" i="125"/>
  <c r="V23" i="125" s="1"/>
  <c r="V22" i="125"/>
  <c r="U22" i="125"/>
  <c r="Z22" i="125"/>
  <c r="AA22" i="125" s="1"/>
  <c r="U21" i="125"/>
  <c r="V21" i="125" s="1"/>
  <c r="Z21" i="125"/>
  <c r="AA21" i="125" s="1"/>
  <c r="K21" i="125"/>
  <c r="H21" i="125"/>
  <c r="U20" i="125"/>
  <c r="V20" i="125" s="1"/>
  <c r="K20" i="125"/>
  <c r="J20" i="125"/>
  <c r="H20" i="125"/>
  <c r="U19" i="125"/>
  <c r="V19" i="125" s="1"/>
  <c r="K19" i="125"/>
  <c r="H19" i="125"/>
  <c r="Z19" i="125" s="1"/>
  <c r="AA19" i="125" s="1"/>
  <c r="U18" i="125"/>
  <c r="V18" i="125" s="1"/>
  <c r="K18" i="125"/>
  <c r="J18" i="125"/>
  <c r="H18" i="125"/>
  <c r="Z18" i="125" s="1"/>
  <c r="AA18" i="125" s="1"/>
  <c r="V17" i="125"/>
  <c r="U17" i="125"/>
  <c r="J17" i="125"/>
  <c r="H17" i="125"/>
  <c r="Z17" i="125" s="1"/>
  <c r="AA17" i="125" s="1"/>
  <c r="V16" i="125"/>
  <c r="U16" i="125"/>
  <c r="J16" i="125"/>
  <c r="Z16" i="125" s="1"/>
  <c r="AA16" i="125" s="1"/>
  <c r="U15" i="125"/>
  <c r="V15" i="125" s="1"/>
  <c r="J15" i="125"/>
  <c r="U14" i="125"/>
  <c r="V14" i="125" s="1"/>
  <c r="Z14" i="125"/>
  <c r="AA14" i="125" s="1"/>
  <c r="V13" i="125"/>
  <c r="U13" i="125"/>
  <c r="Z13" i="125"/>
  <c r="AA13" i="125" s="1"/>
  <c r="U12" i="125"/>
  <c r="V12" i="125" s="1"/>
  <c r="Z12" i="125"/>
  <c r="AA12" i="125" s="1"/>
  <c r="J12" i="125"/>
  <c r="H12" i="125"/>
  <c r="U11" i="125"/>
  <c r="V11" i="125" s="1"/>
  <c r="Z11" i="125"/>
  <c r="AA11" i="125" s="1"/>
  <c r="K11" i="125"/>
  <c r="J11" i="125"/>
  <c r="H11" i="125"/>
  <c r="U10" i="125"/>
  <c r="V10" i="125" s="1"/>
  <c r="U9" i="125"/>
  <c r="V9" i="125" s="1"/>
  <c r="K9" i="125"/>
  <c r="J9" i="125"/>
  <c r="H9" i="125"/>
  <c r="U8" i="125"/>
  <c r="V8" i="125" s="1"/>
  <c r="K8" i="125"/>
  <c r="J8" i="125"/>
  <c r="J91" i="125" s="1"/>
  <c r="H8" i="125"/>
  <c r="Y7" i="125"/>
  <c r="Y91" i="125" s="1"/>
  <c r="U7" i="125"/>
  <c r="U91" i="125" s="1"/>
  <c r="K7" i="125"/>
  <c r="K91" i="125" s="1"/>
  <c r="H7" i="125"/>
  <c r="H91" i="125" s="1"/>
  <c r="X91" i="124"/>
  <c r="W91" i="124"/>
  <c r="T91" i="124"/>
  <c r="S91" i="124"/>
  <c r="R91" i="124"/>
  <c r="O91" i="124"/>
  <c r="N91" i="124"/>
  <c r="M91" i="124"/>
  <c r="L91" i="124"/>
  <c r="G91" i="124"/>
  <c r="Y90" i="124"/>
  <c r="U90" i="124"/>
  <c r="V90" i="124" s="1"/>
  <c r="Q90" i="124"/>
  <c r="Z90" i="124" s="1"/>
  <c r="AA90" i="124" s="1"/>
  <c r="J90" i="124"/>
  <c r="H90" i="124"/>
  <c r="Y89" i="124"/>
  <c r="U89" i="124"/>
  <c r="V89" i="124" s="1"/>
  <c r="Q89" i="124"/>
  <c r="Z89" i="124" s="1"/>
  <c r="AA89" i="124" s="1"/>
  <c r="J89" i="124"/>
  <c r="H89" i="124"/>
  <c r="Y88" i="124"/>
  <c r="U88" i="124"/>
  <c r="V88" i="124" s="1"/>
  <c r="Q88" i="124"/>
  <c r="P88" i="124"/>
  <c r="P91" i="124" s="1"/>
  <c r="H88" i="124"/>
  <c r="Y87" i="124"/>
  <c r="U87" i="124"/>
  <c r="V87" i="124" s="1"/>
  <c r="Q87" i="124"/>
  <c r="J87" i="124"/>
  <c r="Y86" i="124"/>
  <c r="U86" i="124"/>
  <c r="V86" i="124" s="1"/>
  <c r="Q86" i="124"/>
  <c r="J86" i="124"/>
  <c r="H86" i="124"/>
  <c r="Y85" i="124"/>
  <c r="U85" i="124"/>
  <c r="V85" i="124" s="1"/>
  <c r="Q85" i="124"/>
  <c r="Z85" i="124" s="1"/>
  <c r="AA85" i="124" s="1"/>
  <c r="Y84" i="124"/>
  <c r="U84" i="124"/>
  <c r="V84" i="124" s="1"/>
  <c r="J84" i="124"/>
  <c r="Q84" i="124" s="1"/>
  <c r="Y83" i="124"/>
  <c r="U83" i="124"/>
  <c r="V83" i="124" s="1"/>
  <c r="Q83" i="124"/>
  <c r="H83" i="124"/>
  <c r="Y82" i="124"/>
  <c r="U82" i="124"/>
  <c r="V82" i="124" s="1"/>
  <c r="J82" i="124"/>
  <c r="Q82" i="124" s="1"/>
  <c r="Z82" i="124" s="1"/>
  <c r="AA82" i="124" s="1"/>
  <c r="H82" i="124"/>
  <c r="Y81" i="124"/>
  <c r="U81" i="124"/>
  <c r="V81" i="124" s="1"/>
  <c r="J81" i="124"/>
  <c r="Q81" i="124" s="1"/>
  <c r="Z81" i="124" s="1"/>
  <c r="AA81" i="124" s="1"/>
  <c r="H81" i="124"/>
  <c r="Y80" i="124"/>
  <c r="U80" i="124"/>
  <c r="V80" i="124" s="1"/>
  <c r="Q80" i="124"/>
  <c r="Z80" i="124" s="1"/>
  <c r="AA80" i="124" s="1"/>
  <c r="Y79" i="124"/>
  <c r="U79" i="124"/>
  <c r="V79" i="124" s="1"/>
  <c r="K79" i="124"/>
  <c r="J79" i="124"/>
  <c r="H79" i="124"/>
  <c r="Q79" i="124" s="1"/>
  <c r="Y78" i="124"/>
  <c r="V78" i="124"/>
  <c r="U78" i="124"/>
  <c r="K78" i="124"/>
  <c r="J78" i="124"/>
  <c r="Q78" i="124" s="1"/>
  <c r="Z78" i="124" s="1"/>
  <c r="AA78" i="124" s="1"/>
  <c r="H78" i="124"/>
  <c r="Y77" i="124"/>
  <c r="U77" i="124"/>
  <c r="V77" i="124" s="1"/>
  <c r="J77" i="124"/>
  <c r="Q77" i="124" s="1"/>
  <c r="Z77" i="124" s="1"/>
  <c r="AA77" i="124" s="1"/>
  <c r="H77" i="124"/>
  <c r="Y76" i="124"/>
  <c r="U76" i="124"/>
  <c r="V76" i="124" s="1"/>
  <c r="J76" i="124"/>
  <c r="Q76" i="124" s="1"/>
  <c r="Z76" i="124" s="1"/>
  <c r="AA76" i="124" s="1"/>
  <c r="H76" i="124"/>
  <c r="Y75" i="124"/>
  <c r="U75" i="124"/>
  <c r="V75" i="124" s="1"/>
  <c r="K75" i="124"/>
  <c r="Q75" i="124" s="1"/>
  <c r="Z75" i="124" s="1"/>
  <c r="AA75" i="124" s="1"/>
  <c r="J75" i="124"/>
  <c r="H75" i="124"/>
  <c r="Y74" i="124"/>
  <c r="U74" i="124"/>
  <c r="V74" i="124" s="1"/>
  <c r="Q74" i="124"/>
  <c r="Z74" i="124" s="1"/>
  <c r="AA74" i="124" s="1"/>
  <c r="K74" i="124"/>
  <c r="J74" i="124"/>
  <c r="H74" i="124"/>
  <c r="Y73" i="124"/>
  <c r="U73" i="124"/>
  <c r="V73" i="124" s="1"/>
  <c r="K73" i="124"/>
  <c r="J73" i="124"/>
  <c r="H73" i="124"/>
  <c r="Q73" i="124" s="1"/>
  <c r="Y72" i="124"/>
  <c r="V72" i="124"/>
  <c r="U72" i="124"/>
  <c r="H72" i="124"/>
  <c r="Q72" i="124" s="1"/>
  <c r="Z72" i="124" s="1"/>
  <c r="AA72" i="124" s="1"/>
  <c r="Y71" i="124"/>
  <c r="U71" i="124"/>
  <c r="V71" i="124" s="1"/>
  <c r="H71" i="124"/>
  <c r="Q71" i="124" s="1"/>
  <c r="Z71" i="124" s="1"/>
  <c r="AA71" i="124" s="1"/>
  <c r="Y70" i="124"/>
  <c r="U70" i="124"/>
  <c r="V70" i="124" s="1"/>
  <c r="Q70" i="124"/>
  <c r="Y69" i="124"/>
  <c r="V69" i="124"/>
  <c r="U69" i="124"/>
  <c r="K69" i="124"/>
  <c r="J69" i="124"/>
  <c r="Q69" i="124" s="1"/>
  <c r="Z69" i="124" s="1"/>
  <c r="AA69" i="124" s="1"/>
  <c r="H69" i="124"/>
  <c r="Y68" i="124"/>
  <c r="U68" i="124"/>
  <c r="V68" i="124" s="1"/>
  <c r="J68" i="124"/>
  <c r="Q68" i="124" s="1"/>
  <c r="Z68" i="124" s="1"/>
  <c r="AA68" i="124" s="1"/>
  <c r="H68" i="124"/>
  <c r="Y67" i="124"/>
  <c r="U67" i="124"/>
  <c r="V67" i="124" s="1"/>
  <c r="Q67" i="124"/>
  <c r="Z67" i="124" s="1"/>
  <c r="AA67" i="124" s="1"/>
  <c r="Y66" i="124"/>
  <c r="U66" i="124"/>
  <c r="V66" i="124" s="1"/>
  <c r="J66" i="124"/>
  <c r="H66" i="124"/>
  <c r="Q66" i="124" s="1"/>
  <c r="Y65" i="124"/>
  <c r="U65" i="124"/>
  <c r="V65" i="124" s="1"/>
  <c r="K65" i="124"/>
  <c r="J65" i="124"/>
  <c r="H65" i="124"/>
  <c r="Q65" i="124" s="1"/>
  <c r="Y64" i="124"/>
  <c r="V64" i="124"/>
  <c r="U64" i="124"/>
  <c r="J64" i="124"/>
  <c r="H64" i="124"/>
  <c r="Q64" i="124" s="1"/>
  <c r="Z64" i="124" s="1"/>
  <c r="AA64" i="124" s="1"/>
  <c r="Y63" i="124"/>
  <c r="V63" i="124"/>
  <c r="U63" i="124"/>
  <c r="H63" i="124"/>
  <c r="Q63" i="124" s="1"/>
  <c r="Z63" i="124" s="1"/>
  <c r="AA63" i="124" s="1"/>
  <c r="Y62" i="124"/>
  <c r="U62" i="124"/>
  <c r="V62" i="124" s="1"/>
  <c r="H62" i="124"/>
  <c r="Q62" i="124" s="1"/>
  <c r="Z62" i="124" s="1"/>
  <c r="AA62" i="124" s="1"/>
  <c r="Y61" i="124"/>
  <c r="U61" i="124"/>
  <c r="V61" i="124" s="1"/>
  <c r="Q61" i="124"/>
  <c r="Z61" i="124" s="1"/>
  <c r="AA61" i="124" s="1"/>
  <c r="J61" i="124"/>
  <c r="H61" i="124"/>
  <c r="Y60" i="124"/>
  <c r="U60" i="124"/>
  <c r="V60" i="124" s="1"/>
  <c r="Q60" i="124"/>
  <c r="Z60" i="124" s="1"/>
  <c r="AA60" i="124" s="1"/>
  <c r="J60" i="124"/>
  <c r="H60" i="124"/>
  <c r="Y59" i="124"/>
  <c r="U59" i="124"/>
  <c r="V59" i="124" s="1"/>
  <c r="Q59" i="124"/>
  <c r="Y58" i="124"/>
  <c r="V58" i="124"/>
  <c r="U58" i="124"/>
  <c r="J58" i="124"/>
  <c r="Q58" i="124" s="1"/>
  <c r="Z58" i="124" s="1"/>
  <c r="AA58" i="124" s="1"/>
  <c r="Y57" i="124"/>
  <c r="U57" i="124"/>
  <c r="V57" i="124" s="1"/>
  <c r="Q57" i="124"/>
  <c r="Z57" i="124" s="1"/>
  <c r="AA57" i="124" s="1"/>
  <c r="Y56" i="124"/>
  <c r="U56" i="124"/>
  <c r="V56" i="124" s="1"/>
  <c r="Q56" i="124"/>
  <c r="Z56" i="124" s="1"/>
  <c r="AA56" i="124" s="1"/>
  <c r="Y55" i="124"/>
  <c r="U55" i="124"/>
  <c r="V55" i="124" s="1"/>
  <c r="J55" i="124"/>
  <c r="H55" i="124"/>
  <c r="Q55" i="124" s="1"/>
  <c r="Y54" i="124"/>
  <c r="U54" i="124"/>
  <c r="V54" i="124" s="1"/>
  <c r="J54" i="124"/>
  <c r="H54" i="124"/>
  <c r="Q54" i="124" s="1"/>
  <c r="Y53" i="124"/>
  <c r="U53" i="124"/>
  <c r="V53" i="124" s="1"/>
  <c r="J53" i="124"/>
  <c r="Q53" i="124" s="1"/>
  <c r="Y52" i="124"/>
  <c r="U52" i="124"/>
  <c r="V52" i="124" s="1"/>
  <c r="Q52" i="124"/>
  <c r="Z52" i="124" s="1"/>
  <c r="AA52" i="124" s="1"/>
  <c r="K52" i="124"/>
  <c r="J52" i="124"/>
  <c r="H52" i="124"/>
  <c r="Y51" i="124"/>
  <c r="U51" i="124"/>
  <c r="V51" i="124" s="1"/>
  <c r="K51" i="124"/>
  <c r="J51" i="124"/>
  <c r="H51" i="124"/>
  <c r="Q51" i="124" s="1"/>
  <c r="Z51" i="124" s="1"/>
  <c r="AA51" i="124" s="1"/>
  <c r="Y50" i="124"/>
  <c r="V50" i="124"/>
  <c r="U50" i="124"/>
  <c r="Q50" i="124"/>
  <c r="Z50" i="124" s="1"/>
  <c r="AA50" i="124" s="1"/>
  <c r="Y49" i="124"/>
  <c r="U49" i="124"/>
  <c r="V49" i="124" s="1"/>
  <c r="Q49" i="124"/>
  <c r="Z49" i="124" s="1"/>
  <c r="AA49" i="124" s="1"/>
  <c r="K49" i="124"/>
  <c r="J49" i="124"/>
  <c r="H49" i="124"/>
  <c r="Y48" i="124"/>
  <c r="U48" i="124"/>
  <c r="V48" i="124" s="1"/>
  <c r="Q48" i="124"/>
  <c r="Y47" i="124"/>
  <c r="U47" i="124"/>
  <c r="V47" i="124" s="1"/>
  <c r="K47" i="124"/>
  <c r="Q47" i="124" s="1"/>
  <c r="Z47" i="124" s="1"/>
  <c r="AA47" i="124" s="1"/>
  <c r="J47" i="124"/>
  <c r="H47" i="124"/>
  <c r="Y46" i="124"/>
  <c r="U46" i="124"/>
  <c r="V46" i="124" s="1"/>
  <c r="Q46" i="124"/>
  <c r="J46" i="124"/>
  <c r="Y45" i="124"/>
  <c r="U45" i="124"/>
  <c r="V45" i="124" s="1"/>
  <c r="Q45" i="124"/>
  <c r="Y44" i="124"/>
  <c r="U44" i="124"/>
  <c r="V44" i="124" s="1"/>
  <c r="Q44" i="124"/>
  <c r="Z44" i="124" s="1"/>
  <c r="AA44" i="124" s="1"/>
  <c r="Y43" i="124"/>
  <c r="U43" i="124"/>
  <c r="V43" i="124" s="1"/>
  <c r="J43" i="124"/>
  <c r="Q43" i="124" s="1"/>
  <c r="Z43" i="124" s="1"/>
  <c r="AA43" i="124" s="1"/>
  <c r="H43" i="124"/>
  <c r="Y42" i="124"/>
  <c r="U42" i="124"/>
  <c r="V42" i="124" s="1"/>
  <c r="H42" i="124"/>
  <c r="Q42" i="124" s="1"/>
  <c r="Z42" i="124" s="1"/>
  <c r="AA42" i="124" s="1"/>
  <c r="Y41" i="124"/>
  <c r="V41" i="124"/>
  <c r="U41" i="124"/>
  <c r="H41" i="124"/>
  <c r="Q41" i="124" s="1"/>
  <c r="Z41" i="124" s="1"/>
  <c r="AA41" i="124" s="1"/>
  <c r="Y40" i="124"/>
  <c r="U40" i="124"/>
  <c r="V40" i="124" s="1"/>
  <c r="H40" i="124"/>
  <c r="Q40" i="124" s="1"/>
  <c r="Z40" i="124" s="1"/>
  <c r="AA40" i="124" s="1"/>
  <c r="Y39" i="124"/>
  <c r="U39" i="124"/>
  <c r="V39" i="124" s="1"/>
  <c r="Q39" i="124"/>
  <c r="H39" i="124"/>
  <c r="Y38" i="124"/>
  <c r="U38" i="124"/>
  <c r="V38" i="124" s="1"/>
  <c r="K38" i="124"/>
  <c r="Q38" i="124" s="1"/>
  <c r="J38" i="124"/>
  <c r="H38" i="124"/>
  <c r="Y37" i="124"/>
  <c r="U37" i="124"/>
  <c r="V37" i="124" s="1"/>
  <c r="Z37" i="124" s="1"/>
  <c r="AA37" i="124" s="1"/>
  <c r="H37" i="124"/>
  <c r="Y36" i="124"/>
  <c r="V36" i="124"/>
  <c r="U36" i="124"/>
  <c r="H36" i="124"/>
  <c r="Q36" i="124" s="1"/>
  <c r="Z36" i="124" s="1"/>
  <c r="AA36" i="124" s="1"/>
  <c r="Y35" i="124"/>
  <c r="U35" i="124"/>
  <c r="V35" i="124" s="1"/>
  <c r="H35" i="124"/>
  <c r="Q35" i="124" s="1"/>
  <c r="U34" i="124"/>
  <c r="V34" i="124" s="1"/>
  <c r="Z34" i="124" s="1"/>
  <c r="AA34" i="124" s="1"/>
  <c r="Y33" i="124"/>
  <c r="U33" i="124"/>
  <c r="V33" i="124" s="1"/>
  <c r="Q33" i="124"/>
  <c r="Y32" i="124"/>
  <c r="V32" i="124"/>
  <c r="U32" i="124"/>
  <c r="J32" i="124"/>
  <c r="H32" i="124"/>
  <c r="Q32" i="124" s="1"/>
  <c r="Z32" i="124" s="1"/>
  <c r="AA32" i="124" s="1"/>
  <c r="Y31" i="124"/>
  <c r="V31" i="124"/>
  <c r="U31" i="124"/>
  <c r="K31" i="124"/>
  <c r="J31" i="124"/>
  <c r="Q31" i="124" s="1"/>
  <c r="Z31" i="124" s="1"/>
  <c r="AA31" i="124" s="1"/>
  <c r="H31" i="124"/>
  <c r="Y30" i="124"/>
  <c r="U30" i="124"/>
  <c r="V30" i="124" s="1"/>
  <c r="J30" i="124"/>
  <c r="Q30" i="124" s="1"/>
  <c r="Z30" i="124" s="1"/>
  <c r="AA30" i="124" s="1"/>
  <c r="I30" i="124"/>
  <c r="I91" i="124" s="1"/>
  <c r="H30" i="124"/>
  <c r="Y29" i="124"/>
  <c r="U29" i="124"/>
  <c r="V29" i="124" s="1"/>
  <c r="Q29" i="124"/>
  <c r="Z29" i="124" s="1"/>
  <c r="AA29" i="124" s="1"/>
  <c r="Y28" i="124"/>
  <c r="V28" i="124"/>
  <c r="U28" i="124"/>
  <c r="H28" i="124"/>
  <c r="Q28" i="124" s="1"/>
  <c r="Z28" i="124" s="1"/>
  <c r="AA28" i="124" s="1"/>
  <c r="Y27" i="124"/>
  <c r="U27" i="124"/>
  <c r="V27" i="124" s="1"/>
  <c r="H27" i="124"/>
  <c r="Q27" i="124" s="1"/>
  <c r="Z27" i="124" s="1"/>
  <c r="AA27" i="124" s="1"/>
  <c r="Y26" i="124"/>
  <c r="U26" i="124"/>
  <c r="V26" i="124" s="1"/>
  <c r="Q26" i="124"/>
  <c r="Z26" i="124" s="1"/>
  <c r="AA26" i="124" s="1"/>
  <c r="J26" i="124"/>
  <c r="H26" i="124"/>
  <c r="Y25" i="124"/>
  <c r="U25" i="124"/>
  <c r="V25" i="124" s="1"/>
  <c r="Q25" i="124"/>
  <c r="Z25" i="124" s="1"/>
  <c r="AA25" i="124" s="1"/>
  <c r="J25" i="124"/>
  <c r="H25" i="124"/>
  <c r="Y24" i="124"/>
  <c r="U24" i="124"/>
  <c r="V24" i="124" s="1"/>
  <c r="Q24" i="124"/>
  <c r="Z24" i="124" s="1"/>
  <c r="AA24" i="124" s="1"/>
  <c r="J24" i="124"/>
  <c r="H24" i="124"/>
  <c r="Z23" i="124"/>
  <c r="AA23" i="124" s="1"/>
  <c r="Y23" i="124"/>
  <c r="U23" i="124"/>
  <c r="V23" i="124" s="1"/>
  <c r="Q23" i="124"/>
  <c r="Y22" i="124"/>
  <c r="V22" i="124"/>
  <c r="U22" i="124"/>
  <c r="Q22" i="124"/>
  <c r="Z21" i="124"/>
  <c r="AA21" i="124" s="1"/>
  <c r="Y21" i="124"/>
  <c r="U21" i="124"/>
  <c r="V21" i="124" s="1"/>
  <c r="Q21" i="124"/>
  <c r="K21" i="124"/>
  <c r="H21" i="124"/>
  <c r="Y20" i="124"/>
  <c r="U20" i="124"/>
  <c r="V20" i="124" s="1"/>
  <c r="Q20" i="124"/>
  <c r="Z20" i="124" s="1"/>
  <c r="AA20" i="124" s="1"/>
  <c r="K20" i="124"/>
  <c r="J20" i="124"/>
  <c r="H20" i="124"/>
  <c r="Y19" i="124"/>
  <c r="U19" i="124"/>
  <c r="V19" i="124" s="1"/>
  <c r="K19" i="124"/>
  <c r="H19" i="124"/>
  <c r="Q19" i="124" s="1"/>
  <c r="Z19" i="124" s="1"/>
  <c r="AA19" i="124" s="1"/>
  <c r="Y18" i="124"/>
  <c r="U18" i="124"/>
  <c r="V18" i="124" s="1"/>
  <c r="K18" i="124"/>
  <c r="J18" i="124"/>
  <c r="H18" i="124"/>
  <c r="Q18" i="124" s="1"/>
  <c r="Y17" i="124"/>
  <c r="V17" i="124"/>
  <c r="U17" i="124"/>
  <c r="J17" i="124"/>
  <c r="H17" i="124"/>
  <c r="Q17" i="124" s="1"/>
  <c r="Y16" i="124"/>
  <c r="V16" i="124"/>
  <c r="U16" i="124"/>
  <c r="J16" i="124"/>
  <c r="Q16" i="124" s="1"/>
  <c r="Z16" i="124" s="1"/>
  <c r="AA16" i="124" s="1"/>
  <c r="AA15" i="124"/>
  <c r="Y15" i="124"/>
  <c r="U15" i="124"/>
  <c r="V15" i="124" s="1"/>
  <c r="J15" i="124"/>
  <c r="Q15" i="124" s="1"/>
  <c r="Z15" i="124" s="1"/>
  <c r="Z14" i="124"/>
  <c r="AA14" i="124" s="1"/>
  <c r="Y14" i="124"/>
  <c r="U14" i="124"/>
  <c r="V14" i="124" s="1"/>
  <c r="Q14" i="124"/>
  <c r="Y13" i="124"/>
  <c r="V13" i="124"/>
  <c r="U13" i="124"/>
  <c r="Q13" i="124"/>
  <c r="Z13" i="124" s="1"/>
  <c r="AA13" i="124" s="1"/>
  <c r="Z12" i="124"/>
  <c r="AA12" i="124" s="1"/>
  <c r="Y12" i="124"/>
  <c r="U12" i="124"/>
  <c r="V12" i="124" s="1"/>
  <c r="Q12" i="124"/>
  <c r="J12" i="124"/>
  <c r="H12" i="124"/>
  <c r="Y11" i="124"/>
  <c r="U11" i="124"/>
  <c r="V11" i="124" s="1"/>
  <c r="Z11" i="124" s="1"/>
  <c r="AA11" i="124" s="1"/>
  <c r="Q11" i="124"/>
  <c r="K11" i="124"/>
  <c r="J11" i="124"/>
  <c r="H11" i="124"/>
  <c r="Y10" i="124"/>
  <c r="U10" i="124"/>
  <c r="V10" i="124" s="1"/>
  <c r="Q10" i="124"/>
  <c r="Z10" i="124" s="1"/>
  <c r="AA10" i="124" s="1"/>
  <c r="Y9" i="124"/>
  <c r="U9" i="124"/>
  <c r="V9" i="124" s="1"/>
  <c r="K9" i="124"/>
  <c r="Q9" i="124" s="1"/>
  <c r="Z9" i="124" s="1"/>
  <c r="AA9" i="124" s="1"/>
  <c r="J9" i="124"/>
  <c r="H9" i="124"/>
  <c r="Y8" i="124"/>
  <c r="U8" i="124"/>
  <c r="V8" i="124" s="1"/>
  <c r="Z8" i="124" s="1"/>
  <c r="AA8" i="124" s="1"/>
  <c r="Q8" i="124"/>
  <c r="K8" i="124"/>
  <c r="J8" i="124"/>
  <c r="J91" i="124" s="1"/>
  <c r="H8" i="124"/>
  <c r="Y7" i="124"/>
  <c r="Y91" i="124" s="1"/>
  <c r="U7" i="124"/>
  <c r="U91" i="124" s="1"/>
  <c r="K7" i="124"/>
  <c r="H7" i="124"/>
  <c r="L173" i="123"/>
  <c r="K173" i="123"/>
  <c r="H173" i="123"/>
  <c r="G173" i="123"/>
  <c r="F173" i="123"/>
  <c r="E173" i="123"/>
  <c r="D173" i="123"/>
  <c r="B12" i="126" l="1"/>
  <c r="F18" i="126"/>
  <c r="E17" i="126"/>
  <c r="H13" i="126"/>
  <c r="I13" i="126"/>
  <c r="Z8" i="125"/>
  <c r="AA8" i="125" s="1"/>
  <c r="Z10" i="125"/>
  <c r="AA10" i="125" s="1"/>
  <c r="Z26" i="125"/>
  <c r="AA26" i="125" s="1"/>
  <c r="Z40" i="125"/>
  <c r="AA40" i="125" s="1"/>
  <c r="Z54" i="125"/>
  <c r="AA54" i="125" s="1"/>
  <c r="Z55" i="125"/>
  <c r="AA55" i="125" s="1"/>
  <c r="Z56" i="125"/>
  <c r="AA56" i="125" s="1"/>
  <c r="Z61" i="125"/>
  <c r="AA61" i="125" s="1"/>
  <c r="Z66" i="125"/>
  <c r="AA66" i="125" s="1"/>
  <c r="Z67" i="125"/>
  <c r="AA67" i="125" s="1"/>
  <c r="Z68" i="125"/>
  <c r="AA68" i="125" s="1"/>
  <c r="Z71" i="125"/>
  <c r="AA71" i="125" s="1"/>
  <c r="Z75" i="125"/>
  <c r="AA75" i="125" s="1"/>
  <c r="Z76" i="125"/>
  <c r="AA76" i="125" s="1"/>
  <c r="Z77" i="125"/>
  <c r="AA77" i="125" s="1"/>
  <c r="Z85" i="125"/>
  <c r="AA85" i="125" s="1"/>
  <c r="Z86" i="125"/>
  <c r="AA86" i="125" s="1"/>
  <c r="Z87" i="125"/>
  <c r="AA87" i="125" s="1"/>
  <c r="Z9" i="125"/>
  <c r="AA9" i="125" s="1"/>
  <c r="Z15" i="125"/>
  <c r="AA15" i="125" s="1"/>
  <c r="Z20" i="125"/>
  <c r="AA20" i="125" s="1"/>
  <c r="Z23" i="125"/>
  <c r="AA23" i="125" s="1"/>
  <c r="Z33" i="125"/>
  <c r="AA33" i="125" s="1"/>
  <c r="Z35" i="125"/>
  <c r="AA35" i="125" s="1"/>
  <c r="Z38" i="125"/>
  <c r="AA38" i="125" s="1"/>
  <c r="Z39" i="125"/>
  <c r="AA39" i="125" s="1"/>
  <c r="Z45" i="125"/>
  <c r="AA45" i="125" s="1"/>
  <c r="Z46" i="125"/>
  <c r="AA46" i="125" s="1"/>
  <c r="Z48" i="125"/>
  <c r="AA48" i="125" s="1"/>
  <c r="Z53" i="125"/>
  <c r="AA53" i="125" s="1"/>
  <c r="Z70" i="125"/>
  <c r="AA70" i="125" s="1"/>
  <c r="Z88" i="125"/>
  <c r="AA88" i="125" s="1"/>
  <c r="Z65" i="125"/>
  <c r="AA65" i="125" s="1"/>
  <c r="Z73" i="125"/>
  <c r="AA73" i="125" s="1"/>
  <c r="V7" i="125"/>
  <c r="V91" i="125" s="1"/>
  <c r="Q7" i="125"/>
  <c r="Z22" i="124"/>
  <c r="AA22" i="124" s="1"/>
  <c r="Z54" i="124"/>
  <c r="AA54" i="124" s="1"/>
  <c r="Z55" i="124"/>
  <c r="AA55" i="124" s="1"/>
  <c r="K91" i="124"/>
  <c r="Z33" i="124"/>
  <c r="AA33" i="124" s="1"/>
  <c r="Z35" i="124"/>
  <c r="AA35" i="124" s="1"/>
  <c r="Z38" i="124"/>
  <c r="AA38" i="124" s="1"/>
  <c r="Z39" i="124"/>
  <c r="AA39" i="124" s="1"/>
  <c r="Z45" i="124"/>
  <c r="AA45" i="124" s="1"/>
  <c r="Z46" i="124"/>
  <c r="AA46" i="124" s="1"/>
  <c r="Z48" i="124"/>
  <c r="AA48" i="124" s="1"/>
  <c r="Z53" i="124"/>
  <c r="AA53" i="124" s="1"/>
  <c r="Z70" i="124"/>
  <c r="AA70" i="124" s="1"/>
  <c r="Z79" i="124"/>
  <c r="AA79" i="124" s="1"/>
  <c r="Z84" i="124"/>
  <c r="AA84" i="124" s="1"/>
  <c r="Z86" i="124"/>
  <c r="AA86" i="124" s="1"/>
  <c r="Z87" i="124"/>
  <c r="AA87" i="124" s="1"/>
  <c r="Z59" i="124"/>
  <c r="AA59" i="124" s="1"/>
  <c r="Z83" i="124"/>
  <c r="AA83" i="124" s="1"/>
  <c r="Z88" i="124"/>
  <c r="AA88" i="124" s="1"/>
  <c r="Z17" i="124"/>
  <c r="AA17" i="124" s="1"/>
  <c r="Z65" i="124"/>
  <c r="AA65" i="124" s="1"/>
  <c r="Z73" i="124"/>
  <c r="AA73" i="124" s="1"/>
  <c r="V7" i="124"/>
  <c r="V91" i="124" s="1"/>
  <c r="H91" i="124"/>
  <c r="Z18" i="124"/>
  <c r="AA18" i="124" s="1"/>
  <c r="Z66" i="124"/>
  <c r="AA66" i="124" s="1"/>
  <c r="Q7" i="124"/>
  <c r="G18" i="126" l="1"/>
  <c r="F17" i="126"/>
  <c r="Q91" i="125"/>
  <c r="Z93" i="125" s="1"/>
  <c r="Q91" i="124"/>
  <c r="Z93" i="124" s="1"/>
  <c r="Z7" i="124"/>
  <c r="H18" i="126" l="1"/>
  <c r="G17" i="126"/>
  <c r="AA93" i="125"/>
  <c r="Z91" i="125"/>
  <c r="Z94" i="125" s="1"/>
  <c r="AA7" i="125"/>
  <c r="AA91" i="125" s="1"/>
  <c r="AA93" i="124"/>
  <c r="AA94" i="124" s="1"/>
  <c r="Z91" i="124"/>
  <c r="Z94" i="124" s="1"/>
  <c r="AA7" i="124"/>
  <c r="AA91" i="124" s="1"/>
  <c r="I18" i="126" l="1"/>
  <c r="I17" i="126" s="1"/>
  <c r="H17" i="126"/>
  <c r="AA94" i="125"/>
  <c r="I228" i="1"/>
  <c r="J228" i="1"/>
  <c r="K228" i="1"/>
  <c r="L228" i="1"/>
  <c r="H228" i="1"/>
  <c r="G228" i="1"/>
  <c r="F228" i="1"/>
  <c r="E228" i="1"/>
  <c r="G23" i="1" l="1"/>
  <c r="F32" i="1"/>
  <c r="E230" i="1"/>
  <c r="E234" i="1" s="1"/>
  <c r="D230" i="1"/>
  <c r="E257" i="1"/>
  <c r="F257" i="1"/>
  <c r="G257" i="1"/>
  <c r="H257" i="1"/>
  <c r="I257" i="1"/>
  <c r="J257" i="1"/>
  <c r="K257" i="1"/>
  <c r="L257" i="1"/>
  <c r="D257" i="1"/>
  <c r="E239" i="1"/>
  <c r="E236" i="1"/>
  <c r="F234" i="1"/>
  <c r="H234" i="1"/>
  <c r="I234" i="1"/>
  <c r="J234" i="1"/>
  <c r="K234" i="1"/>
  <c r="L234" i="1"/>
  <c r="E186" i="1"/>
  <c r="D186" i="1"/>
  <c r="F181" i="1"/>
  <c r="G181" i="1"/>
  <c r="H181" i="1"/>
  <c r="I181" i="1"/>
  <c r="J181" i="1"/>
  <c r="K181" i="1"/>
  <c r="L181" i="1"/>
  <c r="E181" i="1"/>
  <c r="D181" i="1"/>
  <c r="G91" i="1"/>
  <c r="G94" i="1" s="1"/>
  <c r="F91" i="1"/>
  <c r="G104" i="1"/>
  <c r="E104" i="1"/>
  <c r="E94" i="1"/>
  <c r="L91" i="1"/>
  <c r="L95" i="1" s="1"/>
  <c r="K91" i="1"/>
  <c r="K95" i="1" s="1"/>
  <c r="J91" i="1"/>
  <c r="J95" i="1" s="1"/>
  <c r="H91" i="1"/>
  <c r="H95" i="1" s="1"/>
  <c r="E91" i="1"/>
  <c r="D95" i="1"/>
  <c r="E32" i="1"/>
  <c r="D32" i="1"/>
  <c r="E251" i="1"/>
  <c r="D251" i="1"/>
  <c r="D234" i="1"/>
  <c r="D228" i="1"/>
  <c r="E204" i="1"/>
  <c r="D204" i="1"/>
  <c r="D91" i="1"/>
  <c r="E30" i="1"/>
  <c r="E23" i="1"/>
  <c r="D23" i="1"/>
  <c r="E10" i="122" l="1"/>
  <c r="E9" i="122"/>
  <c r="E8" i="122"/>
  <c r="E7" i="122"/>
  <c r="E6" i="122"/>
  <c r="E5" i="122"/>
  <c r="E4" i="122"/>
  <c r="E3" i="122"/>
  <c r="E11" i="122" s="1"/>
  <c r="E21" i="120"/>
  <c r="E12" i="120"/>
  <c r="G42" i="119"/>
  <c r="G33" i="119"/>
  <c r="G32" i="119"/>
  <c r="G31" i="119"/>
  <c r="G30" i="119"/>
  <c r="G34" i="119" s="1"/>
  <c r="G27" i="119"/>
  <c r="G26" i="119"/>
  <c r="G25" i="119"/>
  <c r="G24" i="119"/>
  <c r="G23" i="119"/>
  <c r="G28" i="119" s="1"/>
  <c r="G20" i="119"/>
  <c r="G19" i="119"/>
  <c r="G18" i="119"/>
  <c r="G21" i="119" s="1"/>
  <c r="G14" i="119"/>
  <c r="G13" i="119"/>
  <c r="G15" i="119" s="1"/>
  <c r="G16" i="119" s="1"/>
  <c r="G46" i="119" s="1"/>
  <c r="G12" i="119"/>
  <c r="G9" i="119"/>
  <c r="G8" i="119"/>
  <c r="G7" i="119"/>
  <c r="G6" i="119"/>
  <c r="G10" i="119" s="1"/>
  <c r="C54" i="117" l="1"/>
  <c r="C52" i="117"/>
  <c r="C51" i="117" s="1"/>
  <c r="C48" i="117"/>
  <c r="C47" i="117"/>
  <c r="C44" i="117"/>
  <c r="C36" i="117"/>
  <c r="C34" i="117"/>
  <c r="C31" i="117"/>
  <c r="C29" i="117"/>
  <c r="C23" i="117"/>
  <c r="C19" i="117"/>
  <c r="C13" i="117"/>
  <c r="C9" i="117"/>
  <c r="C8" i="117" s="1"/>
  <c r="C7" i="117" s="1"/>
  <c r="C6" i="117" s="1"/>
  <c r="C5" i="117" s="1"/>
  <c r="F40" i="116" l="1"/>
  <c r="F38" i="116"/>
  <c r="F37" i="116"/>
  <c r="F36" i="116"/>
  <c r="F35" i="116"/>
  <c r="F34" i="116"/>
  <c r="F33" i="116"/>
  <c r="F31" i="116"/>
  <c r="F19" i="116"/>
  <c r="F17" i="116"/>
  <c r="F16" i="116"/>
  <c r="F15" i="116"/>
  <c r="F14" i="116"/>
  <c r="F13" i="116"/>
  <c r="F12" i="116"/>
  <c r="F22" i="116" s="1"/>
  <c r="F10" i="116"/>
  <c r="F21" i="116" s="1"/>
  <c r="H13" i="115"/>
  <c r="F13" i="115"/>
  <c r="F12" i="115"/>
  <c r="H12" i="115" s="1"/>
  <c r="H11" i="115"/>
  <c r="F11" i="115"/>
  <c r="F10" i="115"/>
  <c r="H10" i="115" s="1"/>
  <c r="D13" i="114"/>
  <c r="F13" i="114" s="1"/>
  <c r="F12" i="114"/>
  <c r="F11" i="114"/>
  <c r="D10" i="114"/>
  <c r="F10" i="114" s="1"/>
  <c r="A10" i="114"/>
  <c r="A11" i="114" s="1"/>
  <c r="A12" i="114" s="1"/>
  <c r="A13" i="114" s="1"/>
  <c r="A14" i="114" s="1"/>
  <c r="A15" i="114" s="1"/>
  <c r="A16" i="114" s="1"/>
  <c r="A17" i="114" s="1"/>
  <c r="D9" i="114"/>
  <c r="F9" i="114" s="1"/>
  <c r="F18" i="114" s="1"/>
  <c r="D13" i="113"/>
  <c r="F13" i="113" s="1"/>
  <c r="F12" i="113"/>
  <c r="F11" i="113"/>
  <c r="D10" i="113"/>
  <c r="F10" i="113" s="1"/>
  <c r="A10" i="113"/>
  <c r="A11" i="113" s="1"/>
  <c r="A12" i="113" s="1"/>
  <c r="A13" i="113" s="1"/>
  <c r="A14" i="113" s="1"/>
  <c r="A15" i="113" s="1"/>
  <c r="A16" i="113" s="1"/>
  <c r="A17" i="113" s="1"/>
  <c r="D9" i="113"/>
  <c r="F9" i="113" s="1"/>
  <c r="F18" i="113" s="1"/>
  <c r="F39" i="112"/>
  <c r="F38" i="112"/>
  <c r="F37" i="112"/>
  <c r="F36" i="112"/>
  <c r="F35" i="112"/>
  <c r="F34" i="112"/>
  <c r="F33" i="112"/>
  <c r="F32" i="112"/>
  <c r="F30" i="112"/>
  <c r="D16" i="112"/>
  <c r="F16" i="112" s="1"/>
  <c r="F15" i="112"/>
  <c r="F14" i="112"/>
  <c r="D13" i="112"/>
  <c r="F13" i="112" s="1"/>
  <c r="F12" i="112"/>
  <c r="F21" i="112" s="1"/>
  <c r="F36" i="111"/>
  <c r="G36" i="111" s="1"/>
  <c r="G35" i="111" s="1"/>
  <c r="F34" i="111"/>
  <c r="G34" i="111" s="1"/>
  <c r="G33" i="111" s="1"/>
  <c r="F32" i="111"/>
  <c r="G32" i="111" s="1"/>
  <c r="G31" i="111" s="1"/>
  <c r="G30" i="111"/>
  <c r="G28" i="111" s="1"/>
  <c r="F30" i="111"/>
  <c r="G29" i="111"/>
  <c r="F18" i="111"/>
  <c r="F17" i="111"/>
  <c r="F16" i="111"/>
  <c r="F15" i="111"/>
  <c r="F14" i="111"/>
  <c r="F13" i="111"/>
  <c r="F12" i="111"/>
  <c r="F11" i="111"/>
  <c r="F10" i="111"/>
  <c r="F9" i="111"/>
  <c r="F196" i="110"/>
  <c r="F197" i="110" s="1"/>
  <c r="F195" i="110"/>
  <c r="F194" i="110"/>
  <c r="F187" i="110"/>
  <c r="F188" i="110" s="1"/>
  <c r="F186" i="110"/>
  <c r="F185" i="110"/>
  <c r="F178" i="110"/>
  <c r="F179" i="110" s="1"/>
  <c r="F177" i="110"/>
  <c r="F176" i="110"/>
  <c r="F169" i="110"/>
  <c r="F170" i="110" s="1"/>
  <c r="F168" i="110"/>
  <c r="F167" i="110"/>
  <c r="F160" i="110"/>
  <c r="F161" i="110" s="1"/>
  <c r="F159" i="110"/>
  <c r="F158" i="110"/>
  <c r="F151" i="110"/>
  <c r="F152" i="110" s="1"/>
  <c r="F150" i="110"/>
  <c r="F149" i="110"/>
  <c r="F142" i="110"/>
  <c r="F143" i="110" s="1"/>
  <c r="F141" i="110"/>
  <c r="F140" i="110"/>
  <c r="F133" i="110"/>
  <c r="F134" i="110" s="1"/>
  <c r="F132" i="110"/>
  <c r="F131" i="110"/>
  <c r="F124" i="110"/>
  <c r="F125" i="110" s="1"/>
  <c r="F123" i="110"/>
  <c r="F122" i="110"/>
  <c r="F115" i="110"/>
  <c r="F116" i="110" s="1"/>
  <c r="F114" i="110"/>
  <c r="F113" i="110"/>
  <c r="F106" i="110"/>
  <c r="F107" i="110" s="1"/>
  <c r="F105" i="110"/>
  <c r="F104" i="110"/>
  <c r="F97" i="110"/>
  <c r="F98" i="110" s="1"/>
  <c r="F96" i="110"/>
  <c r="F95" i="110"/>
  <c r="F88" i="110"/>
  <c r="F89" i="110" s="1"/>
  <c r="F87" i="110"/>
  <c r="F86" i="110"/>
  <c r="F79" i="110"/>
  <c r="F80" i="110" s="1"/>
  <c r="F78" i="110"/>
  <c r="F77" i="110"/>
  <c r="F70" i="110"/>
  <c r="F71" i="110" s="1"/>
  <c r="F69" i="110"/>
  <c r="F68" i="110"/>
  <c r="F61" i="110"/>
  <c r="F62" i="110" s="1"/>
  <c r="F60" i="110"/>
  <c r="F59" i="110"/>
  <c r="F52" i="110"/>
  <c r="F53" i="110" s="1"/>
  <c r="F51" i="110"/>
  <c r="F50" i="110"/>
  <c r="F43" i="110"/>
  <c r="F44" i="110" s="1"/>
  <c r="F42" i="110"/>
  <c r="F41" i="110"/>
  <c r="F34" i="110"/>
  <c r="F35" i="110" s="1"/>
  <c r="F33" i="110"/>
  <c r="F32" i="110"/>
  <c r="F25" i="110"/>
  <c r="F26" i="110" s="1"/>
  <c r="F24" i="110"/>
  <c r="F23" i="110"/>
  <c r="F16" i="110"/>
  <c r="F17" i="110" s="1"/>
  <c r="F15" i="110"/>
  <c r="F14" i="110"/>
  <c r="F7" i="110"/>
  <c r="F8" i="110" s="1"/>
  <c r="F6" i="110"/>
  <c r="F5" i="110"/>
  <c r="F15" i="109"/>
  <c r="G15" i="109" s="1"/>
  <c r="G14" i="109" s="1"/>
  <c r="F13" i="109"/>
  <c r="G13" i="109" s="1"/>
  <c r="G12" i="109" s="1"/>
  <c r="F11" i="109"/>
  <c r="G11" i="109" s="1"/>
  <c r="G9" i="109" s="1"/>
  <c r="G16" i="109" s="1"/>
  <c r="G10" i="109"/>
  <c r="D8" i="108"/>
  <c r="I7" i="108"/>
  <c r="J7" i="108" s="1"/>
  <c r="J8" i="108" s="1"/>
  <c r="F7" i="108"/>
  <c r="I6" i="108"/>
  <c r="J6" i="108" s="1"/>
  <c r="K6" i="108" s="1"/>
  <c r="F6" i="108"/>
  <c r="F5" i="108"/>
  <c r="F8" i="108" s="1"/>
  <c r="F4" i="108"/>
  <c r="F10" i="107"/>
  <c r="F9" i="107"/>
  <c r="F8" i="107"/>
  <c r="F7" i="107"/>
  <c r="F6" i="107"/>
  <c r="F5" i="107"/>
  <c r="F11" i="107" s="1"/>
  <c r="F4" i="107"/>
  <c r="F4" i="106"/>
  <c r="F5" i="106" s="1"/>
  <c r="F4" i="105"/>
  <c r="F5" i="105" s="1"/>
  <c r="F5" i="104"/>
  <c r="F4" i="104"/>
  <c r="F6" i="104" s="1"/>
  <c r="F4" i="103"/>
  <c r="F5" i="103" s="1"/>
  <c r="F4" i="102"/>
  <c r="F5" i="102" s="1"/>
  <c r="J10" i="101"/>
  <c r="G10" i="101"/>
  <c r="K10" i="101" s="1"/>
  <c r="L10" i="101" s="1"/>
  <c r="J9" i="101"/>
  <c r="G9" i="101"/>
  <c r="K9" i="101" s="1"/>
  <c r="L9" i="101" s="1"/>
  <c r="J8" i="101"/>
  <c r="G8" i="101"/>
  <c r="K8" i="101" s="1"/>
  <c r="L8" i="101" s="1"/>
  <c r="J7" i="101"/>
  <c r="G7" i="101"/>
  <c r="K7" i="101" s="1"/>
  <c r="L7" i="101" s="1"/>
  <c r="J6" i="101"/>
  <c r="G6" i="101"/>
  <c r="K6" i="101" s="1"/>
  <c r="L6" i="101" s="1"/>
  <c r="J5" i="101"/>
  <c r="G5" i="101"/>
  <c r="K5" i="101" s="1"/>
  <c r="L5" i="101" s="1"/>
  <c r="J4" i="101"/>
  <c r="J11" i="101" s="1"/>
  <c r="G4" i="101"/>
  <c r="K4" i="101" s="1"/>
  <c r="G25" i="100"/>
  <c r="E19" i="100"/>
  <c r="D19" i="100"/>
  <c r="G18" i="100"/>
  <c r="F18" i="100"/>
  <c r="G17" i="100"/>
  <c r="F17" i="100"/>
  <c r="G16" i="100"/>
  <c r="F16" i="100"/>
  <c r="G15" i="100"/>
  <c r="F15" i="100"/>
  <c r="G14" i="100"/>
  <c r="F14" i="100"/>
  <c r="G13" i="100"/>
  <c r="F13" i="100"/>
  <c r="G12" i="100"/>
  <c r="F12" i="100"/>
  <c r="G11" i="100"/>
  <c r="F11" i="100"/>
  <c r="G10" i="100"/>
  <c r="F10" i="100"/>
  <c r="G9" i="100"/>
  <c r="F9" i="100"/>
  <c r="G8" i="100"/>
  <c r="F8" i="100"/>
  <c r="A8" i="100"/>
  <c r="A9" i="100" s="1"/>
  <c r="A10" i="100" s="1"/>
  <c r="A11" i="100" s="1"/>
  <c r="A12" i="100" s="1"/>
  <c r="A13" i="100" s="1"/>
  <c r="A14" i="100" s="1"/>
  <c r="A15" i="100" s="1"/>
  <c r="A16" i="100" s="1"/>
  <c r="A17" i="100" s="1"/>
  <c r="A18" i="100" s="1"/>
  <c r="G7" i="100"/>
  <c r="F7" i="100"/>
  <c r="A7" i="100"/>
  <c r="G6" i="100"/>
  <c r="G19" i="100" s="1"/>
  <c r="G26" i="100" s="1"/>
  <c r="F6" i="100"/>
  <c r="A6" i="100"/>
  <c r="G5" i="100"/>
  <c r="F5" i="100"/>
  <c r="F19" i="100" s="1"/>
  <c r="C31" i="99"/>
  <c r="C27" i="99"/>
  <c r="C26" i="99"/>
  <c r="C25" i="99"/>
  <c r="C24" i="99"/>
  <c r="A24" i="99"/>
  <c r="A25" i="99" s="1"/>
  <c r="A26" i="99" s="1"/>
  <c r="C23" i="99"/>
  <c r="A23" i="99"/>
  <c r="C22" i="99"/>
  <c r="C19" i="99"/>
  <c r="C18" i="99"/>
  <c r="C20" i="99" s="1"/>
  <c r="C15" i="99"/>
  <c r="C16" i="99" s="1"/>
  <c r="C12" i="99"/>
  <c r="C11" i="99"/>
  <c r="C10" i="99"/>
  <c r="C9" i="99"/>
  <c r="C8" i="99"/>
  <c r="C7" i="99"/>
  <c r="A7" i="99"/>
  <c r="A8" i="99" s="1"/>
  <c r="A9" i="99" s="1"/>
  <c r="A10" i="99" s="1"/>
  <c r="A11" i="99" s="1"/>
  <c r="A12" i="99" s="1"/>
  <c r="C6" i="99"/>
  <c r="A6" i="99"/>
  <c r="C5" i="99"/>
  <c r="C28" i="99" l="1"/>
  <c r="C13" i="99"/>
  <c r="C32" i="99" s="1"/>
  <c r="F42" i="116"/>
  <c r="F43" i="116" s="1"/>
  <c r="H14" i="115"/>
  <c r="F14" i="115"/>
  <c r="F42" i="112"/>
  <c r="F41" i="112"/>
  <c r="G37" i="111"/>
  <c r="C201" i="110"/>
  <c r="K11" i="101"/>
  <c r="L4" i="101"/>
  <c r="L11" i="101" s="1"/>
  <c r="I43" i="98" l="1"/>
  <c r="F43" i="98"/>
  <c r="C43" i="98"/>
  <c r="H42" i="98"/>
  <c r="E42" i="98"/>
  <c r="K41" i="98"/>
  <c r="K43" i="98" s="1"/>
  <c r="H41" i="98"/>
  <c r="E41" i="98"/>
  <c r="H40" i="98"/>
  <c r="L40" i="98" s="1"/>
  <c r="E40" i="98"/>
  <c r="H39" i="98"/>
  <c r="E39" i="98"/>
  <c r="L39" i="98" s="1"/>
  <c r="H38" i="98"/>
  <c r="E38" i="98"/>
  <c r="E37" i="98"/>
  <c r="L36" i="98"/>
  <c r="K36" i="98"/>
  <c r="H36" i="98"/>
  <c r="H43" i="98" s="1"/>
  <c r="E36" i="98"/>
  <c r="E43" i="98" s="1"/>
  <c r="I28" i="98"/>
  <c r="F28" i="98"/>
  <c r="C28" i="98"/>
  <c r="H27" i="98"/>
  <c r="E27" i="98"/>
  <c r="K26" i="98"/>
  <c r="H26" i="98"/>
  <c r="E26" i="98"/>
  <c r="L26" i="98" s="1"/>
  <c r="H25" i="98"/>
  <c r="E25" i="98"/>
  <c r="L25" i="98" s="1"/>
  <c r="L24" i="98"/>
  <c r="H24" i="98"/>
  <c r="E24" i="98"/>
  <c r="H23" i="98"/>
  <c r="E23" i="98"/>
  <c r="L21" i="98" s="1"/>
  <c r="E22" i="98"/>
  <c r="K21" i="98"/>
  <c r="K28" i="98" s="1"/>
  <c r="H21" i="98"/>
  <c r="H28" i="98" s="1"/>
  <c r="E21" i="98"/>
  <c r="E28" i="98" s="1"/>
  <c r="J13" i="98"/>
  <c r="I13" i="98"/>
  <c r="G13" i="98"/>
  <c r="F13" i="98"/>
  <c r="C13" i="98"/>
  <c r="E12" i="98"/>
  <c r="L11" i="98"/>
  <c r="K11" i="98"/>
  <c r="H11" i="98"/>
  <c r="E11" i="98"/>
  <c r="L10" i="98"/>
  <c r="K10" i="98"/>
  <c r="H10" i="98"/>
  <c r="E10" i="98"/>
  <c r="L9" i="98"/>
  <c r="K9" i="98"/>
  <c r="H9" i="98"/>
  <c r="E9" i="98"/>
  <c r="E8" i="98"/>
  <c r="L6" i="98" s="1"/>
  <c r="L13" i="98" s="1"/>
  <c r="E7" i="98"/>
  <c r="K6" i="98"/>
  <c r="K13" i="98" s="1"/>
  <c r="H6" i="98"/>
  <c r="H13" i="98" s="1"/>
  <c r="E6" i="98"/>
  <c r="E13" i="98" s="1"/>
  <c r="L20" i="97"/>
  <c r="C20" i="97"/>
  <c r="N19" i="97"/>
  <c r="I19" i="97"/>
  <c r="K19" i="97" s="1"/>
  <c r="F19" i="97"/>
  <c r="H19" i="97" s="1"/>
  <c r="E19" i="97"/>
  <c r="N18" i="97"/>
  <c r="I18" i="97"/>
  <c r="K18" i="97" s="1"/>
  <c r="H18" i="97"/>
  <c r="F18" i="97"/>
  <c r="E18" i="97"/>
  <c r="N17" i="97"/>
  <c r="F17" i="97"/>
  <c r="I17" i="97" s="1"/>
  <c r="K17" i="97" s="1"/>
  <c r="E17" i="97"/>
  <c r="N16" i="97"/>
  <c r="F16" i="97"/>
  <c r="I16" i="97" s="1"/>
  <c r="K16" i="97" s="1"/>
  <c r="E16" i="97"/>
  <c r="N15" i="97"/>
  <c r="I15" i="97"/>
  <c r="K15" i="97" s="1"/>
  <c r="F15" i="97"/>
  <c r="H15" i="97" s="1"/>
  <c r="E15" i="97"/>
  <c r="N14" i="97"/>
  <c r="I14" i="97"/>
  <c r="K14" i="97" s="1"/>
  <c r="H14" i="97"/>
  <c r="F14" i="97"/>
  <c r="E14" i="97"/>
  <c r="N13" i="97"/>
  <c r="F13" i="97"/>
  <c r="I13" i="97" s="1"/>
  <c r="K13" i="97" s="1"/>
  <c r="E13" i="97"/>
  <c r="N12" i="97"/>
  <c r="F12" i="97"/>
  <c r="I12" i="97" s="1"/>
  <c r="K12" i="97" s="1"/>
  <c r="E12" i="97"/>
  <c r="N11" i="97"/>
  <c r="I11" i="97"/>
  <c r="K11" i="97" s="1"/>
  <c r="F11" i="97"/>
  <c r="H11" i="97" s="1"/>
  <c r="E11" i="97"/>
  <c r="N10" i="97"/>
  <c r="I10" i="97"/>
  <c r="K10" i="97" s="1"/>
  <c r="H10" i="97"/>
  <c r="F10" i="97"/>
  <c r="E10" i="97"/>
  <c r="N9" i="97"/>
  <c r="F9" i="97"/>
  <c r="H9" i="97" s="1"/>
  <c r="E9" i="97"/>
  <c r="N8" i="97"/>
  <c r="F8" i="97"/>
  <c r="F20" i="97" s="1"/>
  <c r="E8" i="97"/>
  <c r="E20" i="97" s="1"/>
  <c r="N7" i="97"/>
  <c r="N20" i="97" s="1"/>
  <c r="I7" i="97"/>
  <c r="K7" i="97" s="1"/>
  <c r="F7" i="97"/>
  <c r="H7" i="97" s="1"/>
  <c r="E7" i="97"/>
  <c r="A7" i="97"/>
  <c r="A8" i="97" s="1"/>
  <c r="A9" i="97" s="1"/>
  <c r="A10" i="97" s="1"/>
  <c r="A11" i="97" s="1"/>
  <c r="A12" i="97" s="1"/>
  <c r="A13" i="97" s="1"/>
  <c r="A14" i="97" s="1"/>
  <c r="A15" i="97" s="1"/>
  <c r="A16" i="97" s="1"/>
  <c r="A17" i="97" s="1"/>
  <c r="A18" i="97" s="1"/>
  <c r="A19" i="97" s="1"/>
  <c r="N6" i="97"/>
  <c r="I6" i="97"/>
  <c r="K6" i="97" s="1"/>
  <c r="H6" i="97"/>
  <c r="F6" i="97"/>
  <c r="E6" i="97"/>
  <c r="B24" i="96"/>
  <c r="B25" i="96" s="1"/>
  <c r="D23" i="96"/>
  <c r="D24" i="96" s="1"/>
  <c r="D25" i="96" s="1"/>
  <c r="C23" i="96"/>
  <c r="C24" i="96" s="1"/>
  <c r="C25" i="96" s="1"/>
  <c r="B23" i="96"/>
  <c r="D11" i="96"/>
  <c r="E11" i="96" s="1"/>
  <c r="B10" i="96"/>
  <c r="B12" i="96" s="1"/>
  <c r="E9" i="96"/>
  <c r="D9" i="96"/>
  <c r="D8" i="96"/>
  <c r="E8" i="96" s="1"/>
  <c r="P44" i="95"/>
  <c r="O44" i="95"/>
  <c r="N44" i="95"/>
  <c r="M44" i="95"/>
  <c r="L44" i="95"/>
  <c r="K44" i="95"/>
  <c r="J44" i="95"/>
  <c r="I44" i="95"/>
  <c r="H44" i="95"/>
  <c r="G44" i="95"/>
  <c r="F44" i="95"/>
  <c r="E44" i="95"/>
  <c r="D44" i="95"/>
  <c r="C44" i="95"/>
  <c r="Q43" i="95"/>
  <c r="Q42" i="95"/>
  <c r="Q41" i="95"/>
  <c r="Q40" i="95"/>
  <c r="Q39" i="95"/>
  <c r="Q38" i="95"/>
  <c r="Q37" i="95"/>
  <c r="Q36" i="95"/>
  <c r="Q35" i="95"/>
  <c r="Q34" i="95"/>
  <c r="Q33" i="95"/>
  <c r="Q32" i="95"/>
  <c r="Q31" i="95"/>
  <c r="Q30" i="95"/>
  <c r="Q29" i="95"/>
  <c r="Q28" i="95"/>
  <c r="A28" i="95"/>
  <c r="A29" i="95" s="1"/>
  <c r="A30" i="95" s="1"/>
  <c r="A31" i="95" s="1"/>
  <c r="A32" i="95" s="1"/>
  <c r="A33" i="95" s="1"/>
  <c r="A34" i="95" s="1"/>
  <c r="A35" i="95" s="1"/>
  <c r="A36" i="95" s="1"/>
  <c r="A37" i="95" s="1"/>
  <c r="A38" i="95" s="1"/>
  <c r="A39" i="95" s="1"/>
  <c r="A40" i="95" s="1"/>
  <c r="A41" i="95" s="1"/>
  <c r="A42" i="95" s="1"/>
  <c r="A43" i="95" s="1"/>
  <c r="Q27" i="95"/>
  <c r="Q44" i="95" s="1"/>
  <c r="P25" i="95"/>
  <c r="O25" i="95"/>
  <c r="O45" i="95" s="1"/>
  <c r="N25" i="95"/>
  <c r="M25" i="95"/>
  <c r="L25" i="95"/>
  <c r="K25" i="95"/>
  <c r="K45" i="95" s="1"/>
  <c r="J25" i="95"/>
  <c r="I25" i="95"/>
  <c r="H25" i="95"/>
  <c r="G25" i="95"/>
  <c r="G45" i="95" s="1"/>
  <c r="F25" i="95"/>
  <c r="E25" i="95"/>
  <c r="D25" i="95"/>
  <c r="C25" i="95"/>
  <c r="C45" i="95" s="1"/>
  <c r="A16" i="95"/>
  <c r="A17" i="95" s="1"/>
  <c r="A18" i="95" s="1"/>
  <c r="A19" i="95" s="1"/>
  <c r="A20" i="95" s="1"/>
  <c r="A21" i="95" s="1"/>
  <c r="A22" i="95" s="1"/>
  <c r="A23" i="95" s="1"/>
  <c r="A24" i="95" s="1"/>
  <c r="A15" i="95"/>
  <c r="Q14" i="95"/>
  <c r="Q25" i="95" s="1"/>
  <c r="P12" i="95"/>
  <c r="P45" i="95" s="1"/>
  <c r="O12" i="95"/>
  <c r="N12" i="95"/>
  <c r="N45" i="95" s="1"/>
  <c r="M12" i="95"/>
  <c r="M45" i="95" s="1"/>
  <c r="L12" i="95"/>
  <c r="L45" i="95" s="1"/>
  <c r="K12" i="95"/>
  <c r="J12" i="95"/>
  <c r="J45" i="95" s="1"/>
  <c r="I12" i="95"/>
  <c r="I45" i="95" s="1"/>
  <c r="H12" i="95"/>
  <c r="H45" i="95" s="1"/>
  <c r="G12" i="95"/>
  <c r="F12" i="95"/>
  <c r="F45" i="95" s="1"/>
  <c r="E12" i="95"/>
  <c r="E45" i="95" s="1"/>
  <c r="D12" i="95"/>
  <c r="D45" i="95" s="1"/>
  <c r="C12" i="95"/>
  <c r="Q11" i="95"/>
  <c r="Q10" i="95"/>
  <c r="Q9" i="95"/>
  <c r="Q8" i="95"/>
  <c r="Q7" i="95"/>
  <c r="A7" i="95"/>
  <c r="A8" i="95" s="1"/>
  <c r="A9" i="95" s="1"/>
  <c r="A10" i="95" s="1"/>
  <c r="A11" i="95" s="1"/>
  <c r="Q6" i="95"/>
  <c r="Q12" i="95" s="1"/>
  <c r="Q45" i="95" s="1"/>
  <c r="F12" i="94"/>
  <c r="E12" i="94"/>
  <c r="D12" i="94"/>
  <c r="F11" i="94"/>
  <c r="E11" i="94"/>
  <c r="D11" i="94"/>
  <c r="F10" i="94"/>
  <c r="E10" i="94"/>
  <c r="D10" i="94"/>
  <c r="D13" i="94" s="1"/>
  <c r="E8" i="94"/>
  <c r="D8" i="94"/>
  <c r="F7" i="94"/>
  <c r="F8" i="94" s="1"/>
  <c r="E7" i="94"/>
  <c r="D7" i="94"/>
  <c r="F14" i="94" l="1"/>
  <c r="E13" i="94"/>
  <c r="E14" i="94" s="1"/>
  <c r="D14" i="94"/>
  <c r="F13" i="94"/>
  <c r="L28" i="98"/>
  <c r="L41" i="98"/>
  <c r="L43" i="98" s="1"/>
  <c r="H13" i="97"/>
  <c r="H17" i="97"/>
  <c r="H8" i="97"/>
  <c r="H20" i="97" s="1"/>
  <c r="I9" i="97"/>
  <c r="K9" i="97" s="1"/>
  <c r="K20" i="97" s="1"/>
  <c r="H12" i="97"/>
  <c r="H16" i="97"/>
  <c r="I8" i="97"/>
  <c r="K8" i="97" s="1"/>
  <c r="I20" i="97"/>
  <c r="D10" i="96"/>
  <c r="E10" i="96" s="1"/>
  <c r="D12" i="96" l="1"/>
  <c r="E12" i="96" s="1"/>
  <c r="F40" i="93" l="1"/>
  <c r="F39" i="93"/>
  <c r="F38" i="93"/>
  <c r="F37" i="93"/>
  <c r="F36" i="93"/>
  <c r="F35" i="93"/>
  <c r="F34" i="93"/>
  <c r="F33" i="93"/>
  <c r="F32" i="93"/>
  <c r="F41" i="93" s="1"/>
  <c r="F24" i="93"/>
  <c r="F23" i="93"/>
  <c r="F22" i="93"/>
  <c r="F21" i="93"/>
  <c r="F20" i="93"/>
  <c r="F19" i="93"/>
  <c r="F18" i="93"/>
  <c r="F17" i="93"/>
  <c r="F16" i="93"/>
  <c r="F15" i="93"/>
  <c r="F14" i="93"/>
  <c r="F13" i="93"/>
  <c r="F12" i="93"/>
  <c r="F11" i="93"/>
  <c r="F10" i="93"/>
  <c r="F9" i="93"/>
  <c r="F25" i="93" s="1"/>
  <c r="H107" i="91" l="1"/>
  <c r="H22" i="89" l="1"/>
  <c r="G22" i="89"/>
  <c r="E22" i="89"/>
  <c r="K21" i="89"/>
  <c r="L21" i="89" s="1"/>
  <c r="J21" i="89"/>
  <c r="F21" i="89"/>
  <c r="K20" i="89"/>
  <c r="L20" i="89" s="1"/>
  <c r="J20" i="89"/>
  <c r="F20" i="89"/>
  <c r="K19" i="89"/>
  <c r="L19" i="89" s="1"/>
  <c r="J19" i="89"/>
  <c r="I19" i="89"/>
  <c r="I22" i="89" s="1"/>
  <c r="F19" i="89"/>
  <c r="J18" i="89"/>
  <c r="K18" i="89" s="1"/>
  <c r="L18" i="89" s="1"/>
  <c r="K17" i="89"/>
  <c r="L17" i="89" s="1"/>
  <c r="J17" i="89"/>
  <c r="F17" i="89"/>
  <c r="K16" i="89"/>
  <c r="L16" i="89" s="1"/>
  <c r="J16" i="89"/>
  <c r="J15" i="89"/>
  <c r="K15" i="89" s="1"/>
  <c r="L15" i="89" s="1"/>
  <c r="K14" i="89"/>
  <c r="L14" i="89" s="1"/>
  <c r="J14" i="89"/>
  <c r="J13" i="89"/>
  <c r="J22" i="89" s="1"/>
  <c r="F13" i="89"/>
  <c r="F22" i="89" s="1"/>
  <c r="I93" i="88"/>
  <c r="H93" i="88"/>
  <c r="G93" i="88"/>
  <c r="E93" i="88"/>
  <c r="L92" i="88"/>
  <c r="F92" i="88"/>
  <c r="L91" i="88"/>
  <c r="M91" i="88" s="1"/>
  <c r="N91" i="88" s="1"/>
  <c r="L90" i="88"/>
  <c r="J90" i="88"/>
  <c r="F90" i="88"/>
  <c r="M90" i="88" s="1"/>
  <c r="N90" i="88" s="1"/>
  <c r="L89" i="88"/>
  <c r="J89" i="88"/>
  <c r="F89" i="88"/>
  <c r="L88" i="88"/>
  <c r="F88" i="88"/>
  <c r="M87" i="88"/>
  <c r="N87" i="88" s="1"/>
  <c r="L87" i="88"/>
  <c r="L86" i="88"/>
  <c r="F86" i="88"/>
  <c r="L85" i="88"/>
  <c r="M85" i="88" s="1"/>
  <c r="N85" i="88" s="1"/>
  <c r="L84" i="88"/>
  <c r="M84" i="88" s="1"/>
  <c r="N84" i="88" s="1"/>
  <c r="L83" i="88"/>
  <c r="J83" i="88"/>
  <c r="F83" i="88"/>
  <c r="M82" i="88"/>
  <c r="N82" i="88" s="1"/>
  <c r="L82" i="88"/>
  <c r="J82" i="88"/>
  <c r="F82" i="88"/>
  <c r="L81" i="88"/>
  <c r="M81" i="88" s="1"/>
  <c r="N81" i="88" s="1"/>
  <c r="L80" i="88"/>
  <c r="M80" i="88" s="1"/>
  <c r="N80" i="88" s="1"/>
  <c r="L79" i="88"/>
  <c r="M79" i="88" s="1"/>
  <c r="N79" i="88" s="1"/>
  <c r="L78" i="88"/>
  <c r="F78" i="88"/>
  <c r="M77" i="88"/>
  <c r="N77" i="88" s="1"/>
  <c r="L77" i="88"/>
  <c r="L76" i="88"/>
  <c r="J76" i="88"/>
  <c r="F76" i="88"/>
  <c r="L75" i="88"/>
  <c r="M75" i="88" s="1"/>
  <c r="N75" i="88" s="1"/>
  <c r="L74" i="88"/>
  <c r="M74" i="88" s="1"/>
  <c r="N74" i="88" s="1"/>
  <c r="M73" i="88"/>
  <c r="N73" i="88" s="1"/>
  <c r="L73" i="88"/>
  <c r="L72" i="88"/>
  <c r="F72" i="88"/>
  <c r="L71" i="88"/>
  <c r="M71" i="88" s="1"/>
  <c r="N71" i="88" s="1"/>
  <c r="L70" i="88"/>
  <c r="M70" i="88" s="1"/>
  <c r="N70" i="88" s="1"/>
  <c r="L69" i="88"/>
  <c r="M69" i="88" s="1"/>
  <c r="N69" i="88" s="1"/>
  <c r="M68" i="88"/>
  <c r="N68" i="88" s="1"/>
  <c r="L68" i="88"/>
  <c r="L67" i="88"/>
  <c r="F67" i="88"/>
  <c r="L66" i="88"/>
  <c r="F66" i="88"/>
  <c r="L65" i="88"/>
  <c r="M65" i="88" s="1"/>
  <c r="N65" i="88" s="1"/>
  <c r="L64" i="88"/>
  <c r="M64" i="88" s="1"/>
  <c r="N64" i="88" s="1"/>
  <c r="L63" i="88"/>
  <c r="M63" i="88" s="1"/>
  <c r="N63" i="88" s="1"/>
  <c r="M62" i="88"/>
  <c r="N62" i="88" s="1"/>
  <c r="L62" i="88"/>
  <c r="L61" i="88"/>
  <c r="F61" i="88"/>
  <c r="L60" i="88"/>
  <c r="M60" i="88" s="1"/>
  <c r="N60" i="88" s="1"/>
  <c r="L59" i="88"/>
  <c r="M59" i="88" s="1"/>
  <c r="N59" i="88" s="1"/>
  <c r="L58" i="88"/>
  <c r="M58" i="88" s="1"/>
  <c r="N58" i="88" s="1"/>
  <c r="M57" i="88"/>
  <c r="N57" i="88" s="1"/>
  <c r="L57" i="88"/>
  <c r="J57" i="88"/>
  <c r="F57" i="88"/>
  <c r="L56" i="88"/>
  <c r="M56" i="88" s="1"/>
  <c r="N56" i="88" s="1"/>
  <c r="L55" i="88"/>
  <c r="M55" i="88" s="1"/>
  <c r="N55" i="88" s="1"/>
  <c r="J55" i="88"/>
  <c r="M54" i="88"/>
  <c r="N54" i="88" s="1"/>
  <c r="L54" i="88"/>
  <c r="L53" i="88"/>
  <c r="F53" i="88"/>
  <c r="L52" i="88"/>
  <c r="M52" i="88" s="1"/>
  <c r="N52" i="88" s="1"/>
  <c r="L51" i="88"/>
  <c r="M51" i="88" s="1"/>
  <c r="N51" i="88" s="1"/>
  <c r="L50" i="88"/>
  <c r="F50" i="88"/>
  <c r="L49" i="88"/>
  <c r="M49" i="88" s="1"/>
  <c r="N49" i="88" s="1"/>
  <c r="M48" i="88"/>
  <c r="N48" i="88" s="1"/>
  <c r="L48" i="88"/>
  <c r="L47" i="88"/>
  <c r="M47" i="88" s="1"/>
  <c r="N47" i="88" s="1"/>
  <c r="L46" i="88"/>
  <c r="M46" i="88" s="1"/>
  <c r="N46" i="88" s="1"/>
  <c r="L45" i="88"/>
  <c r="J45" i="88"/>
  <c r="L44" i="88"/>
  <c r="J44" i="88"/>
  <c r="F44" i="88"/>
  <c r="M43" i="88"/>
  <c r="N43" i="88" s="1"/>
  <c r="L43" i="88"/>
  <c r="L42" i="88"/>
  <c r="M42" i="88" s="1"/>
  <c r="N42" i="88" s="1"/>
  <c r="L41" i="88"/>
  <c r="M41" i="88" s="1"/>
  <c r="N41" i="88" s="1"/>
  <c r="L40" i="88"/>
  <c r="M40" i="88" s="1"/>
  <c r="N40" i="88" s="1"/>
  <c r="L39" i="88"/>
  <c r="F39" i="88"/>
  <c r="L38" i="88"/>
  <c r="J38" i="88"/>
  <c r="L37" i="88"/>
  <c r="K37" i="88"/>
  <c r="F37" i="88"/>
  <c r="L36" i="88"/>
  <c r="M36" i="88" s="1"/>
  <c r="N36" i="88" s="1"/>
  <c r="M35" i="88"/>
  <c r="N35" i="88" s="1"/>
  <c r="L35" i="88"/>
  <c r="L34" i="88"/>
  <c r="M34" i="88" s="1"/>
  <c r="N34" i="88" s="1"/>
  <c r="L33" i="88"/>
  <c r="M33" i="88" s="1"/>
  <c r="N33" i="88" s="1"/>
  <c r="L32" i="88"/>
  <c r="F32" i="88"/>
  <c r="M32" i="88" s="1"/>
  <c r="N32" i="88" s="1"/>
  <c r="L31" i="88"/>
  <c r="F31" i="88"/>
  <c r="M31" i="88" s="1"/>
  <c r="N31" i="88" s="1"/>
  <c r="L30" i="88"/>
  <c r="M30" i="88" s="1"/>
  <c r="N30" i="88" s="1"/>
  <c r="M29" i="88"/>
  <c r="N29" i="88" s="1"/>
  <c r="L29" i="88"/>
  <c r="L28" i="88"/>
  <c r="M28" i="88" s="1"/>
  <c r="N28" i="88" s="1"/>
  <c r="J28" i="88"/>
  <c r="L27" i="88"/>
  <c r="J27" i="88"/>
  <c r="F27" i="88"/>
  <c r="L26" i="88"/>
  <c r="J26" i="88"/>
  <c r="M26" i="88" s="1"/>
  <c r="N26" i="88" s="1"/>
  <c r="L25" i="88"/>
  <c r="J25" i="88"/>
  <c r="M25" i="88" s="1"/>
  <c r="N25" i="88" s="1"/>
  <c r="F25" i="88"/>
  <c r="L24" i="88"/>
  <c r="M24" i="88" s="1"/>
  <c r="N24" i="88" s="1"/>
  <c r="L23" i="88"/>
  <c r="M23" i="88" s="1"/>
  <c r="N23" i="88" s="1"/>
  <c r="L22" i="88"/>
  <c r="M22" i="88" s="1"/>
  <c r="N22" i="88" s="1"/>
  <c r="M21" i="88"/>
  <c r="N21" i="88" s="1"/>
  <c r="L21" i="88"/>
  <c r="F21" i="88"/>
  <c r="L20" i="88"/>
  <c r="F20" i="88"/>
  <c r="M20" i="88" s="1"/>
  <c r="N20" i="88" s="1"/>
  <c r="M19" i="88"/>
  <c r="N19" i="88" s="1"/>
  <c r="L19" i="88"/>
  <c r="L18" i="88"/>
  <c r="J18" i="88"/>
  <c r="F18" i="88"/>
  <c r="L17" i="88"/>
  <c r="J17" i="88"/>
  <c r="F17" i="88"/>
  <c r="M17" i="88" s="1"/>
  <c r="N17" i="88" s="1"/>
  <c r="L16" i="88"/>
  <c r="M16" i="88" s="1"/>
  <c r="N16" i="88" s="1"/>
  <c r="M15" i="88"/>
  <c r="N15" i="88" s="1"/>
  <c r="L15" i="88"/>
  <c r="L14" i="88"/>
  <c r="M14" i="88" s="1"/>
  <c r="N14" i="88" s="1"/>
  <c r="L13" i="88"/>
  <c r="J13" i="88"/>
  <c r="J93" i="88" s="1"/>
  <c r="F13" i="88"/>
  <c r="L12" i="88"/>
  <c r="M12" i="88" s="1"/>
  <c r="N12" i="88" s="1"/>
  <c r="L11" i="88"/>
  <c r="M11" i="88" s="1"/>
  <c r="N11" i="88" s="1"/>
  <c r="L10" i="88"/>
  <c r="K13" i="89" l="1"/>
  <c r="L93" i="88"/>
  <c r="F93" i="88"/>
  <c r="M38" i="88"/>
  <c r="N38" i="88" s="1"/>
  <c r="M67" i="88"/>
  <c r="N67" i="88" s="1"/>
  <c r="M72" i="88"/>
  <c r="N72" i="88" s="1"/>
  <c r="M78" i="88"/>
  <c r="N78" i="88" s="1"/>
  <c r="M86" i="88"/>
  <c r="N86" i="88" s="1"/>
  <c r="M88" i="88"/>
  <c r="N88" i="88" s="1"/>
  <c r="M37" i="88"/>
  <c r="N37" i="88" s="1"/>
  <c r="M39" i="88"/>
  <c r="N39" i="88" s="1"/>
  <c r="M44" i="88"/>
  <c r="N44" i="88" s="1"/>
  <c r="M45" i="88"/>
  <c r="N45" i="88" s="1"/>
  <c r="M50" i="88"/>
  <c r="N50" i="88" s="1"/>
  <c r="M53" i="88"/>
  <c r="N53" i="88" s="1"/>
  <c r="M61" i="88"/>
  <c r="N61" i="88" s="1"/>
  <c r="M66" i="88"/>
  <c r="N66" i="88" s="1"/>
  <c r="M83" i="88"/>
  <c r="N83" i="88" s="1"/>
  <c r="M89" i="88"/>
  <c r="N89" i="88" s="1"/>
  <c r="M92" i="88"/>
  <c r="N92" i="88" s="1"/>
  <c r="M18" i="88"/>
  <c r="N18" i="88" s="1"/>
  <c r="M27" i="88"/>
  <c r="N27" i="88" s="1"/>
  <c r="M76" i="88"/>
  <c r="N76" i="88" s="1"/>
  <c r="M10" i="88"/>
  <c r="K93" i="88"/>
  <c r="M13" i="88"/>
  <c r="N13" i="88" s="1"/>
  <c r="C15" i="62"/>
  <c r="D15" i="62"/>
  <c r="E15" i="62"/>
  <c r="K22" i="89" l="1"/>
  <c r="L13" i="89"/>
  <c r="L22" i="89" s="1"/>
  <c r="M93" i="88"/>
  <c r="N10" i="88"/>
  <c r="N93" i="88" s="1"/>
  <c r="K32" i="1"/>
  <c r="L32" i="1"/>
  <c r="K38" i="1"/>
  <c r="L38" i="1"/>
  <c r="K105" i="1"/>
  <c r="L105" i="1"/>
  <c r="K171" i="1"/>
  <c r="L171" i="1"/>
  <c r="K207" i="1"/>
  <c r="L207" i="1"/>
  <c r="K251" i="1"/>
  <c r="K155" i="1"/>
  <c r="L25" i="1"/>
  <c r="L26" i="1"/>
  <c r="L27" i="1"/>
  <c r="L28" i="1"/>
  <c r="L29" i="1"/>
  <c r="L30" i="1"/>
  <c r="L31" i="1"/>
  <c r="L34" i="1"/>
  <c r="L35" i="1"/>
  <c r="L36" i="1"/>
  <c r="L37" i="1"/>
  <c r="L40" i="1"/>
  <c r="L41" i="1"/>
  <c r="L42" i="1"/>
  <c r="L43" i="1"/>
  <c r="L44" i="1"/>
  <c r="L45" i="1"/>
  <c r="L46" i="1"/>
  <c r="L47" i="1"/>
  <c r="L48" i="1"/>
  <c r="L49" i="1"/>
  <c r="L50" i="1"/>
  <c r="L51" i="1"/>
  <c r="L52" i="1"/>
  <c r="L53" i="1"/>
  <c r="L54" i="1"/>
  <c r="L55" i="1"/>
  <c r="L56" i="1"/>
  <c r="L57" i="1"/>
  <c r="L58" i="1"/>
  <c r="L59" i="1"/>
  <c r="L60" i="1"/>
  <c r="L61" i="1"/>
  <c r="L62" i="1"/>
  <c r="L65" i="1"/>
  <c r="L66" i="1"/>
  <c r="L67" i="1"/>
  <c r="L68" i="1"/>
  <c r="L69" i="1"/>
  <c r="L70" i="1"/>
  <c r="L71" i="1"/>
  <c r="L73" i="1"/>
  <c r="L74" i="1"/>
  <c r="L78" i="1"/>
  <c r="L79" i="1"/>
  <c r="L97" i="1"/>
  <c r="L98" i="1"/>
  <c r="L99" i="1"/>
  <c r="L100" i="1"/>
  <c r="L101" i="1"/>
  <c r="L102" i="1"/>
  <c r="L103" i="1"/>
  <c r="L104" i="1"/>
  <c r="L107" i="1"/>
  <c r="L108" i="1"/>
  <c r="L109" i="1"/>
  <c r="L110" i="1"/>
  <c r="L111" i="1"/>
  <c r="L112" i="1"/>
  <c r="L113" i="1"/>
  <c r="L114" i="1"/>
  <c r="L115" i="1"/>
  <c r="L116" i="1"/>
  <c r="L117"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7" i="1"/>
  <c r="L178" i="1"/>
  <c r="L179" i="1"/>
  <c r="L180" i="1"/>
  <c r="L184" i="1"/>
  <c r="L185" i="1"/>
  <c r="L188" i="1"/>
  <c r="L189" i="1"/>
  <c r="L190" i="1"/>
  <c r="L191" i="1"/>
  <c r="L192" i="1"/>
  <c r="L193" i="1"/>
  <c r="L194" i="1"/>
  <c r="L196" i="1"/>
  <c r="L197" i="1"/>
  <c r="L198" i="1"/>
  <c r="L199" i="1"/>
  <c r="L200" i="1"/>
  <c r="L201" i="1"/>
  <c r="L202" i="1"/>
  <c r="L204" i="1"/>
  <c r="L205" i="1"/>
  <c r="L206" i="1"/>
  <c r="L209" i="1"/>
  <c r="L211" i="1"/>
  <c r="L212" i="1"/>
  <c r="L213" i="1"/>
  <c r="L214" i="1"/>
  <c r="L216" i="1"/>
  <c r="L217" i="1"/>
  <c r="L218" i="1"/>
  <c r="L219" i="1"/>
  <c r="L220" i="1"/>
  <c r="L221" i="1"/>
  <c r="L222" i="1"/>
  <c r="L223" i="1"/>
  <c r="L224" i="1"/>
  <c r="L225" i="1"/>
  <c r="L226" i="1"/>
  <c r="L227" i="1"/>
  <c r="L230" i="1"/>
  <c r="L231" i="1"/>
  <c r="L232" i="1"/>
  <c r="L233" i="1"/>
  <c r="L236" i="1"/>
  <c r="L237" i="1"/>
  <c r="L238" i="1"/>
  <c r="L239" i="1"/>
  <c r="L240" i="1"/>
  <c r="L242" i="1"/>
  <c r="L243" i="1"/>
  <c r="L244" i="1"/>
  <c r="L245" i="1"/>
  <c r="L246" i="1"/>
  <c r="L247" i="1"/>
  <c r="L248" i="1"/>
  <c r="L249" i="1"/>
  <c r="L250" i="1"/>
  <c r="L253" i="1"/>
  <c r="L254" i="1"/>
  <c r="L255" i="1"/>
  <c r="L256" i="1"/>
  <c r="L260" i="1"/>
  <c r="L261" i="1"/>
  <c r="L262" i="1"/>
  <c r="L263" i="1"/>
  <c r="L264" i="1"/>
  <c r="L265" i="1"/>
  <c r="L269" i="1"/>
  <c r="L270" i="1"/>
  <c r="L271" i="1"/>
  <c r="L272" i="1"/>
  <c r="L273" i="1"/>
  <c r="L15" i="1"/>
  <c r="K16" i="1"/>
  <c r="L16" i="1" s="1"/>
  <c r="K19" i="1"/>
  <c r="L19" i="1" s="1"/>
  <c r="K25" i="1"/>
  <c r="K26" i="1"/>
  <c r="K27" i="1"/>
  <c r="K28" i="1"/>
  <c r="K29" i="1"/>
  <c r="K30" i="1"/>
  <c r="K31" i="1"/>
  <c r="K34" i="1"/>
  <c r="K35" i="1"/>
  <c r="K36" i="1"/>
  <c r="K37" i="1"/>
  <c r="K40" i="1"/>
  <c r="K41" i="1"/>
  <c r="K42" i="1"/>
  <c r="K43" i="1"/>
  <c r="K44" i="1"/>
  <c r="K45" i="1"/>
  <c r="K46" i="1"/>
  <c r="K47" i="1"/>
  <c r="K48" i="1"/>
  <c r="K49" i="1"/>
  <c r="K50" i="1"/>
  <c r="K51" i="1"/>
  <c r="K52" i="1"/>
  <c r="K53" i="1"/>
  <c r="K54" i="1"/>
  <c r="K55" i="1"/>
  <c r="K56" i="1"/>
  <c r="K57" i="1"/>
  <c r="K58" i="1"/>
  <c r="K59" i="1"/>
  <c r="K60" i="1"/>
  <c r="K61" i="1"/>
  <c r="K62" i="1"/>
  <c r="K65" i="1"/>
  <c r="K66" i="1"/>
  <c r="K67" i="1"/>
  <c r="K68" i="1"/>
  <c r="K69" i="1"/>
  <c r="K70" i="1"/>
  <c r="K71" i="1"/>
  <c r="L72" i="1"/>
  <c r="K73" i="1"/>
  <c r="K74" i="1"/>
  <c r="K75" i="1"/>
  <c r="L75" i="1" s="1"/>
  <c r="K76" i="1"/>
  <c r="L76" i="1" s="1"/>
  <c r="K77" i="1"/>
  <c r="L77" i="1" s="1"/>
  <c r="K78" i="1"/>
  <c r="K79" i="1"/>
  <c r="K97" i="1"/>
  <c r="K98" i="1"/>
  <c r="K99" i="1"/>
  <c r="K100" i="1"/>
  <c r="K101" i="1"/>
  <c r="K102" i="1"/>
  <c r="K103" i="1"/>
  <c r="K104" i="1"/>
  <c r="K107" i="1"/>
  <c r="K108" i="1"/>
  <c r="K109" i="1"/>
  <c r="K110" i="1"/>
  <c r="K111" i="1"/>
  <c r="K112" i="1"/>
  <c r="K113" i="1"/>
  <c r="K114" i="1"/>
  <c r="K115" i="1"/>
  <c r="K116" i="1"/>
  <c r="K117"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6" i="1"/>
  <c r="K157" i="1"/>
  <c r="K158" i="1"/>
  <c r="K159" i="1"/>
  <c r="K160" i="1"/>
  <c r="K161" i="1"/>
  <c r="K162" i="1"/>
  <c r="K163" i="1"/>
  <c r="K164" i="1"/>
  <c r="K165" i="1"/>
  <c r="K166" i="1"/>
  <c r="K167" i="1"/>
  <c r="K168" i="1"/>
  <c r="K169" i="1"/>
  <c r="K170" i="1"/>
  <c r="K177" i="1"/>
  <c r="K178" i="1"/>
  <c r="K179" i="1"/>
  <c r="K180" i="1"/>
  <c r="K184" i="1"/>
  <c r="K185" i="1"/>
  <c r="K188" i="1"/>
  <c r="K189" i="1"/>
  <c r="K190" i="1"/>
  <c r="K191" i="1"/>
  <c r="K192" i="1"/>
  <c r="K193" i="1"/>
  <c r="K194" i="1"/>
  <c r="K196" i="1"/>
  <c r="K197" i="1"/>
  <c r="K198" i="1"/>
  <c r="K199" i="1"/>
  <c r="K200" i="1"/>
  <c r="K201" i="1"/>
  <c r="K202" i="1"/>
  <c r="K204" i="1"/>
  <c r="K205" i="1"/>
  <c r="K206" i="1"/>
  <c r="K209" i="1"/>
  <c r="K211" i="1"/>
  <c r="K212" i="1"/>
  <c r="K213" i="1"/>
  <c r="K214" i="1"/>
  <c r="K216" i="1"/>
  <c r="K217" i="1"/>
  <c r="K218" i="1"/>
  <c r="K219" i="1"/>
  <c r="K220" i="1"/>
  <c r="K221" i="1"/>
  <c r="K222" i="1"/>
  <c r="K224" i="1"/>
  <c r="K225" i="1"/>
  <c r="K226" i="1"/>
  <c r="K227" i="1"/>
  <c r="K231" i="1"/>
  <c r="K232" i="1"/>
  <c r="K236" i="1"/>
  <c r="K237" i="1"/>
  <c r="K238" i="1"/>
  <c r="K239" i="1"/>
  <c r="K240" i="1"/>
  <c r="K242" i="1"/>
  <c r="K243" i="1"/>
  <c r="K244" i="1"/>
  <c r="K245" i="1"/>
  <c r="K246" i="1"/>
  <c r="K247" i="1"/>
  <c r="K248" i="1"/>
  <c r="K249" i="1"/>
  <c r="K250" i="1"/>
  <c r="K253" i="1"/>
  <c r="K254" i="1"/>
  <c r="K255" i="1"/>
  <c r="K256" i="1"/>
  <c r="K260" i="1"/>
  <c r="K261" i="1"/>
  <c r="K262" i="1"/>
  <c r="K263" i="1"/>
  <c r="K264" i="1"/>
  <c r="K265" i="1"/>
  <c r="K269" i="1"/>
  <c r="K270" i="1"/>
  <c r="K271" i="1"/>
  <c r="K272" i="1"/>
  <c r="K273" i="1"/>
  <c r="K15" i="1"/>
  <c r="J121" i="1" l="1"/>
  <c r="J122" i="1"/>
  <c r="J123" i="1"/>
  <c r="J124" i="1"/>
  <c r="J125" i="1"/>
  <c r="J127" i="1"/>
  <c r="J128" i="1"/>
  <c r="J130" i="1"/>
  <c r="J132" i="1"/>
  <c r="J133" i="1"/>
  <c r="J135" i="1"/>
  <c r="J137" i="1"/>
  <c r="J140" i="1"/>
  <c r="J142" i="1"/>
  <c r="J143" i="1"/>
  <c r="J145" i="1"/>
  <c r="J147" i="1"/>
  <c r="J148" i="1"/>
  <c r="J149" i="1"/>
  <c r="J150" i="1"/>
  <c r="J155" i="1"/>
  <c r="J164" i="1"/>
  <c r="J166" i="1"/>
  <c r="J120" i="1"/>
  <c r="H120" i="1"/>
  <c r="H171" i="1"/>
  <c r="H251" i="1" l="1"/>
  <c r="J251" i="1" s="1"/>
  <c r="L251" i="1" s="1"/>
  <c r="H236" i="1"/>
  <c r="J236" i="1" s="1"/>
  <c r="G236" i="1"/>
  <c r="G234" i="1"/>
  <c r="J205" i="1"/>
  <c r="J206" i="1"/>
  <c r="H204" i="1"/>
  <c r="J204" i="1" s="1"/>
  <c r="J207" i="1" s="1"/>
  <c r="J179" i="1"/>
  <c r="J180" i="1"/>
  <c r="H177" i="1"/>
  <c r="J177" i="1" s="1"/>
  <c r="H178" i="1"/>
  <c r="J178" i="1" s="1"/>
  <c r="G27" i="1"/>
  <c r="G31" i="1"/>
  <c r="G30" i="1"/>
  <c r="G32" i="1"/>
  <c r="F23" i="1"/>
  <c r="H207" i="1" l="1"/>
  <c r="I233" i="1"/>
  <c r="J233" i="1" s="1"/>
  <c r="I230" i="1"/>
  <c r="J230" i="1" s="1"/>
  <c r="H27" i="1"/>
  <c r="J171" i="1"/>
  <c r="J231" i="1"/>
  <c r="J232" i="1"/>
  <c r="I223" i="1"/>
  <c r="J223" i="1" s="1"/>
  <c r="F22" i="87"/>
  <c r="F23" i="87" s="1"/>
  <c r="F21" i="87"/>
  <c r="F20" i="87"/>
  <c r="F13" i="87"/>
  <c r="F12" i="87"/>
  <c r="F11" i="87"/>
  <c r="F10" i="87"/>
  <c r="F14" i="87" l="1"/>
  <c r="F25" i="87"/>
  <c r="J98" i="1"/>
  <c r="J99" i="1"/>
  <c r="J100" i="1"/>
  <c r="J101" i="1"/>
  <c r="J102" i="1"/>
  <c r="J103" i="1"/>
  <c r="J104" i="1"/>
  <c r="J97" i="1"/>
  <c r="H105" i="1"/>
  <c r="J105" i="1" s="1"/>
  <c r="J38" i="1"/>
  <c r="J35" i="1"/>
  <c r="J36" i="1"/>
  <c r="J37" i="1"/>
  <c r="J34" i="1"/>
  <c r="I32" i="1"/>
  <c r="H32" i="1"/>
  <c r="J26" i="1"/>
  <c r="J27" i="1"/>
  <c r="J28" i="1"/>
  <c r="J29" i="1"/>
  <c r="J30" i="1"/>
  <c r="J31" i="1"/>
  <c r="J25" i="1"/>
  <c r="I258" i="1" l="1"/>
  <c r="J32" i="1"/>
  <c r="I23" i="1"/>
  <c r="K17" i="1"/>
  <c r="K18" i="1"/>
  <c r="L18" i="1" s="1"/>
  <c r="K20" i="1"/>
  <c r="L20" i="1" s="1"/>
  <c r="K21" i="1"/>
  <c r="L21" i="1" s="1"/>
  <c r="K22" i="1"/>
  <c r="L22" i="1" s="1"/>
  <c r="J15" i="1"/>
  <c r="H23" i="1"/>
  <c r="K23" i="1" l="1"/>
  <c r="K258" i="1" s="1"/>
  <c r="K266" i="1" s="1"/>
  <c r="L17" i="1"/>
  <c r="L23" i="1" s="1"/>
  <c r="L258" i="1" s="1"/>
  <c r="L266" i="1" s="1"/>
  <c r="J258" i="1"/>
  <c r="J266" i="1" s="1"/>
  <c r="B19" i="1"/>
  <c r="B21" i="1"/>
  <c r="H258" i="1" l="1"/>
  <c r="I21" i="80"/>
  <c r="H266" i="1" l="1"/>
  <c r="D10" i="80"/>
  <c r="D32" i="80"/>
  <c r="D36" i="80" s="1"/>
  <c r="C32" i="80"/>
  <c r="I54" i="80"/>
  <c r="E54" i="80"/>
  <c r="D54" i="80"/>
  <c r="D15" i="80"/>
  <c r="D30" i="80"/>
  <c r="C30" i="80"/>
  <c r="D21" i="80"/>
  <c r="E10" i="80"/>
  <c r="C10" i="80"/>
  <c r="D60" i="80" l="1"/>
  <c r="I51" i="80" l="1"/>
  <c r="E51" i="80"/>
  <c r="E36" i="80"/>
  <c r="I35" i="80"/>
  <c r="I34" i="80"/>
  <c r="I33" i="80"/>
  <c r="I32" i="80"/>
  <c r="I29" i="80"/>
  <c r="I26" i="80"/>
  <c r="I25" i="80"/>
  <c r="I24" i="80"/>
  <c r="I23" i="80"/>
  <c r="I14" i="80"/>
  <c r="I15" i="80" s="1"/>
  <c r="I9" i="80"/>
  <c r="I10" i="80" s="1"/>
  <c r="F27" i="75"/>
  <c r="G27" i="75"/>
  <c r="H27" i="75"/>
  <c r="F28" i="75"/>
  <c r="G28" i="75"/>
  <c r="H28" i="75"/>
  <c r="F29" i="75"/>
  <c r="G29" i="75"/>
  <c r="H29" i="75"/>
  <c r="F30" i="75"/>
  <c r="G30" i="75"/>
  <c r="H30" i="75"/>
  <c r="F31" i="75"/>
  <c r="G31" i="75"/>
  <c r="H31" i="75"/>
  <c r="F32" i="75"/>
  <c r="G32" i="75"/>
  <c r="H32" i="75"/>
  <c r="F33" i="75"/>
  <c r="G33" i="75"/>
  <c r="H33" i="75"/>
  <c r="F34" i="75"/>
  <c r="G34" i="75"/>
  <c r="H34" i="75"/>
  <c r="F35" i="75"/>
  <c r="G35" i="75"/>
  <c r="H35" i="75"/>
  <c r="F36" i="75"/>
  <c r="G36" i="75"/>
  <c r="H36" i="75"/>
  <c r="F37" i="75"/>
  <c r="G37" i="75"/>
  <c r="H37" i="75"/>
  <c r="D38" i="75"/>
  <c r="E38" i="75"/>
  <c r="F38" i="75" l="1"/>
  <c r="I30" i="80"/>
  <c r="I35" i="75"/>
  <c r="I31" i="75"/>
  <c r="I27" i="75"/>
  <c r="I37" i="75"/>
  <c r="I33" i="75"/>
  <c r="I29" i="75"/>
  <c r="I16" i="80"/>
  <c r="I60" i="80" s="1"/>
  <c r="I34" i="75"/>
  <c r="I30" i="75"/>
  <c r="H38" i="75"/>
  <c r="I36" i="75"/>
  <c r="I32" i="75"/>
  <c r="I28" i="75"/>
  <c r="G38" i="75"/>
  <c r="I38" i="75" l="1"/>
  <c r="K21" i="75"/>
  <c r="J21" i="75"/>
  <c r="H21" i="75"/>
  <c r="G21" i="75"/>
  <c r="E21" i="75"/>
  <c r="D21" i="75"/>
  <c r="F20" i="75"/>
  <c r="L19" i="75"/>
  <c r="I19" i="75"/>
  <c r="F19" i="75"/>
  <c r="F18" i="75"/>
  <c r="M18" i="75" s="1"/>
  <c r="L17" i="75"/>
  <c r="I17" i="75"/>
  <c r="F17" i="75"/>
  <c r="L16" i="75"/>
  <c r="I16" i="75"/>
  <c r="F16" i="75"/>
  <c r="F15" i="75"/>
  <c r="F14" i="75"/>
  <c r="L13" i="75"/>
  <c r="I13" i="75"/>
  <c r="F13" i="75"/>
  <c r="I21" i="75" l="1"/>
  <c r="L21" i="75"/>
  <c r="M17" i="75"/>
  <c r="M19" i="75"/>
  <c r="M16" i="75"/>
  <c r="F21" i="75"/>
  <c r="M13" i="75"/>
  <c r="M21" i="75" l="1"/>
  <c r="G204" i="1" l="1"/>
  <c r="F204" i="1"/>
  <c r="G7" i="66" l="1"/>
  <c r="F42" i="66"/>
  <c r="D4" i="76" l="1"/>
  <c r="D3" i="76"/>
  <c r="F8" i="86"/>
  <c r="F14" i="85"/>
  <c r="F41" i="66"/>
  <c r="F40" i="66"/>
  <c r="F39" i="66"/>
  <c r="F38" i="66"/>
  <c r="F37" i="66"/>
  <c r="F36" i="66"/>
  <c r="F35" i="66"/>
  <c r="F34" i="66"/>
  <c r="F33" i="66"/>
  <c r="F32" i="66"/>
  <c r="F31" i="66"/>
  <c r="F30" i="66"/>
  <c r="F29" i="66"/>
  <c r="F28" i="66"/>
  <c r="F27" i="66"/>
  <c r="F26" i="66"/>
  <c r="F25" i="66"/>
  <c r="F24" i="66"/>
  <c r="F23" i="66"/>
  <c r="F22" i="66"/>
  <c r="F21" i="66"/>
  <c r="F43" i="66" l="1"/>
  <c r="F19" i="84"/>
  <c r="F15" i="84"/>
  <c r="F16" i="84" s="1"/>
  <c r="F10" i="84"/>
  <c r="F9" i="84"/>
  <c r="F11" i="84" s="1"/>
  <c r="F5" i="84"/>
  <c r="F4" i="84"/>
  <c r="F6" i="84" s="1"/>
  <c r="F16" i="83"/>
  <c r="F15" i="83"/>
  <c r="F14" i="83"/>
  <c r="F13" i="83"/>
  <c r="F12" i="83"/>
  <c r="F11" i="83"/>
  <c r="F10" i="83"/>
  <c r="F9" i="83"/>
  <c r="F8" i="83"/>
  <c r="F7" i="83"/>
  <c r="F6" i="83"/>
  <c r="F5" i="83"/>
  <c r="F17" i="83" s="1"/>
  <c r="F21" i="84" l="1"/>
  <c r="F111" i="78" l="1"/>
  <c r="F108" i="78"/>
  <c r="F101" i="78"/>
  <c r="F95" i="78"/>
  <c r="G16" i="66"/>
  <c r="G15" i="66"/>
  <c r="G14" i="66"/>
  <c r="G13" i="66"/>
  <c r="G12" i="66"/>
  <c r="G11" i="66"/>
  <c r="G10" i="66"/>
  <c r="G9" i="66"/>
  <c r="G8" i="66"/>
  <c r="G6" i="66"/>
  <c r="G5" i="66"/>
  <c r="F82" i="78"/>
  <c r="F81" i="78"/>
  <c r="F80" i="78"/>
  <c r="F79" i="78"/>
  <c r="F78" i="78"/>
  <c r="F77" i="78"/>
  <c r="F76" i="78"/>
  <c r="F75" i="78"/>
  <c r="F74" i="78"/>
  <c r="F73" i="78"/>
  <c r="F72" i="78"/>
  <c r="F71" i="78"/>
  <c r="F40" i="78"/>
  <c r="F39" i="78"/>
  <c r="F38" i="78"/>
  <c r="F37" i="78"/>
  <c r="F36" i="78"/>
  <c r="F35" i="78"/>
  <c r="F34" i="78"/>
  <c r="F33" i="78"/>
  <c r="F32" i="78"/>
  <c r="F31" i="78"/>
  <c r="F32" i="64"/>
  <c r="F31" i="64"/>
  <c r="F30" i="64"/>
  <c r="F29" i="64"/>
  <c r="F28" i="64"/>
  <c r="F27" i="64"/>
  <c r="F26" i="64"/>
  <c r="F25" i="64"/>
  <c r="F24" i="64"/>
  <c r="F23" i="64"/>
  <c r="F22" i="64"/>
  <c r="F168" i="82"/>
  <c r="F156" i="82"/>
  <c r="F160" i="82" s="1"/>
  <c r="F148" i="82"/>
  <c r="F152" i="82" s="1"/>
  <c r="F140" i="82"/>
  <c r="F144" i="82" s="1"/>
  <c r="F136" i="82"/>
  <c r="F128" i="82"/>
  <c r="F120" i="82"/>
  <c r="F112" i="82"/>
  <c r="F104" i="82"/>
  <c r="F96" i="82"/>
  <c r="F84" i="82"/>
  <c r="F88" i="82" s="1"/>
  <c r="F80" i="82"/>
  <c r="F72" i="82"/>
  <c r="F60" i="82"/>
  <c r="F64" i="82" s="1"/>
  <c r="F56" i="82"/>
  <c r="F44" i="82"/>
  <c r="F48" i="82" s="1"/>
  <c r="F40" i="82"/>
  <c r="F32" i="82"/>
  <c r="F24" i="82"/>
  <c r="F12" i="82"/>
  <c r="F16" i="82" s="1"/>
  <c r="F8" i="82"/>
  <c r="F170" i="82" l="1"/>
  <c r="F33" i="64"/>
  <c r="G17" i="66"/>
  <c r="F45" i="66" s="1"/>
  <c r="F112" i="78"/>
  <c r="F83" i="78"/>
  <c r="F41" i="78"/>
  <c r="F14" i="78"/>
  <c r="F13" i="78"/>
  <c r="F7" i="78"/>
  <c r="G251" i="1"/>
  <c r="F251" i="1"/>
  <c r="E21" i="68"/>
  <c r="E13" i="68"/>
  <c r="E12" i="68"/>
  <c r="E11" i="68"/>
  <c r="E10" i="68"/>
  <c r="E9" i="68"/>
  <c r="E8" i="68"/>
  <c r="E9" i="65"/>
  <c r="E8" i="65"/>
  <c r="E7" i="65"/>
  <c r="E6" i="65"/>
  <c r="E10" i="65" l="1"/>
  <c r="E14" i="68"/>
  <c r="F15" i="78"/>
  <c r="E4" i="76" l="1"/>
  <c r="E5" i="76" s="1"/>
  <c r="E3" i="76"/>
  <c r="F45" i="75"/>
  <c r="E44" i="75"/>
  <c r="E8" i="75"/>
  <c r="F8" i="75" s="1"/>
  <c r="E7" i="75"/>
  <c r="F7" i="75" s="1"/>
  <c r="E6" i="75"/>
  <c r="F6" i="75" s="1"/>
  <c r="E5" i="75"/>
  <c r="F5" i="75" s="1"/>
  <c r="E46" i="75" l="1"/>
  <c r="F44" i="75"/>
  <c r="F46" i="75" s="1"/>
  <c r="E9" i="75"/>
  <c r="F9" i="75"/>
  <c r="F16" i="64" l="1"/>
  <c r="F15" i="64"/>
  <c r="F14" i="64"/>
  <c r="F13" i="64"/>
  <c r="F12" i="64"/>
  <c r="F11" i="64"/>
  <c r="F10" i="64"/>
  <c r="F9" i="64"/>
  <c r="F8" i="64"/>
  <c r="F7" i="64"/>
  <c r="F6" i="64"/>
  <c r="F5" i="64"/>
  <c r="F4" i="64"/>
  <c r="F3" i="64"/>
  <c r="F17" i="64" l="1"/>
  <c r="G266" i="1" l="1"/>
  <c r="B34" i="1" l="1"/>
  <c r="B35" i="1" s="1"/>
  <c r="B36" i="1" s="1"/>
  <c r="B37" i="1" s="1"/>
  <c r="B25" i="1"/>
  <c r="B26" i="1" s="1"/>
  <c r="B27" i="1" s="1"/>
  <c r="B28" i="1" s="1"/>
  <c r="B29" i="1" s="1"/>
  <c r="B30" i="1" s="1"/>
  <c r="B31" i="1" s="1"/>
  <c r="B16" i="1"/>
  <c r="B17" i="1" s="1"/>
  <c r="A15" i="1" l="1"/>
  <c r="A16" i="1" s="1"/>
  <c r="A17"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80" i="1"/>
  <c r="A181" i="1" s="1"/>
  <c r="A182" i="1" s="1"/>
  <c r="A183" i="1" s="1"/>
  <c r="A184" i="1" s="1"/>
  <c r="A185" i="1" s="1"/>
  <c r="A186" i="1" s="1"/>
  <c r="A187" i="1" s="1"/>
  <c r="A188" i="1" s="1"/>
  <c r="A189" i="1" s="1"/>
  <c r="A190" i="1" s="1"/>
  <c r="A191" i="1" s="1"/>
  <c r="A192" i="1" s="1"/>
  <c r="A193" i="1" s="1"/>
  <c r="A194" i="1" s="1"/>
  <c r="A195" i="1" s="1"/>
  <c r="A196" i="1" s="1"/>
  <c r="A197" i="1" s="1"/>
  <c r="A198" i="1" s="1"/>
  <c r="A199" i="1" s="1"/>
  <c r="A200" i="1" l="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l="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F266" i="1" l="1"/>
  <c r="C13" i="126"/>
  <c r="B13" i="126"/>
</calcChain>
</file>

<file path=xl/comments1.xml><?xml version="1.0" encoding="utf-8"?>
<comments xmlns="http://schemas.openxmlformats.org/spreadsheetml/2006/main">
  <authors>
    <author>Chuluunzagd</author>
    <author>Tungalag</author>
  </authors>
  <commentList>
    <comment ref="C92" authorId="0">
      <text>
        <r>
          <rPr>
            <sz val="8"/>
            <color indexed="81"/>
            <rFont val="Tahoma"/>
            <family val="2"/>
          </rPr>
          <t>шатахууны нийт хэрэгцээний 5%</t>
        </r>
      </text>
    </comment>
    <comment ref="H171" authorId="1">
      <text>
        <r>
          <rPr>
            <b/>
            <sz val="9"/>
            <color indexed="81"/>
            <rFont val="Tahoma"/>
            <family val="2"/>
          </rPr>
          <t>Tungalag:</t>
        </r>
        <r>
          <rPr>
            <sz val="9"/>
            <color indexed="81"/>
            <rFont val="Tahoma"/>
            <family val="2"/>
          </rPr>
          <t xml:space="preserve">
Магадлангийн томилолт-710.206.710
ЭТТ-ийн баталгаажуулалт-66.521.320
Зөвшөөрлийн албаны томилолт-4.800.000
</t>
        </r>
      </text>
    </comment>
    <comment ref="I223" authorId="1">
      <text>
        <r>
          <rPr>
            <b/>
            <sz val="9"/>
            <color indexed="81"/>
            <rFont val="Tahoma"/>
            <family val="2"/>
          </rPr>
          <t>Tungalag:</t>
        </r>
        <r>
          <rPr>
            <sz val="9"/>
            <color indexed="81"/>
            <rFont val="Tahoma"/>
            <family val="2"/>
          </rPr>
          <t xml:space="preserve">
Магадлангийн хурал, шинжээчийн ажлын хөлс-26.725.000
</t>
        </r>
      </text>
    </comment>
    <comment ref="I230" authorId="1">
      <text>
        <r>
          <rPr>
            <b/>
            <sz val="9"/>
            <color indexed="81"/>
            <rFont val="Tahoma"/>
            <family val="2"/>
          </rPr>
          <t>Tungalag:</t>
        </r>
        <r>
          <rPr>
            <sz val="9"/>
            <color indexed="81"/>
            <rFont val="Tahoma"/>
            <family val="2"/>
          </rPr>
          <t xml:space="preserve">
ТТ-ийн баталгаажуулалт-53.026.920
Стандарт орчуулах-27.594.000
Хурлын зардал-24.480.000
Шинжээчийн ажлын хөлс-26.500.000
Эмийн заавар баталгаажуулах ажлын хөлс-15.000.000
Тандалт судалгаа хийх-3.000.000
Эмийн мэдээний сангийн програм-5.000.000
Хүний нөөцийн програм хангамж-40.000.000
Судалгааны алба-123.300.000
Донорын бүртгэл мэдээний сан-20.000.000
</t>
        </r>
      </text>
    </comment>
    <comment ref="I233" authorId="1">
      <text>
        <r>
          <rPr>
            <b/>
            <sz val="9"/>
            <color indexed="81"/>
            <rFont val="Tahoma"/>
            <family val="2"/>
          </rPr>
          <t>Tungalag:</t>
        </r>
        <r>
          <rPr>
            <sz val="9"/>
            <color indexed="81"/>
            <rFont val="Tahoma"/>
            <family val="2"/>
          </rPr>
          <t xml:space="preserve">
Магадлангийн сургалт семинар-44183.800
ЭЭТТАлбаны сургалт-124.249.100
Донорын сургалт-53.093.100
</t>
        </r>
      </text>
    </comment>
  </commentList>
</comments>
</file>

<file path=xl/sharedStrings.xml><?xml version="1.0" encoding="utf-8"?>
<sst xmlns="http://schemas.openxmlformats.org/spreadsheetml/2006/main" count="7804" uniqueCount="3178">
  <si>
    <t>Мөрийн дугаар</t>
  </si>
  <si>
    <t>№</t>
  </si>
  <si>
    <t>Зардлын зүйл анги</t>
  </si>
  <si>
    <t>Тайлбар</t>
  </si>
  <si>
    <t>Бат</t>
  </si>
  <si>
    <t>ХБГ</t>
  </si>
  <si>
    <t>Төл</t>
  </si>
  <si>
    <t>Одоо байгаа үндсэн ажиллагсдын тоо (мөрдөгдөж буй цалингийн сүлжээгээр)</t>
  </si>
  <si>
    <t>ЦАЛИН ХӨЛС, НЭМЭГДЭЛ УРАМШИЛ, НДШ-ИЙН ЗАРДЛЫН ДҮН</t>
  </si>
  <si>
    <t>Маягтын тоо</t>
  </si>
  <si>
    <t>Нэг ширхэг маягтын дундаж зардал (задаргааг хавсаргах)</t>
  </si>
  <si>
    <t>Бичиг хэргийн ажилтны тоо</t>
  </si>
  <si>
    <t>Албан бичгийн хэрэглэл материалын зардал</t>
  </si>
  <si>
    <t>Бичиг хэргийн бусад зардал (канон, принтерийн хор)</t>
  </si>
  <si>
    <t xml:space="preserve">БИЧИГ ХЭРГИЙН ЗАРДЛЫН ДҮН </t>
  </si>
  <si>
    <t>Сүүлийн 3 жилийн дунджаар жилд хэрэглэх нийт цахилгаан эрчим хүч (квт)</t>
  </si>
  <si>
    <t xml:space="preserve">Нэг квт цахилгааны үнэ </t>
  </si>
  <si>
    <t>ГЭРЭЛ ЦАХИЛГААНЫ ЗАРДЛЫН ДҮН</t>
  </si>
  <si>
    <t>Халаалтын хугацаа (сараар)</t>
  </si>
  <si>
    <t>Нэг куб метр талбайн сарын халаалтын хөлс</t>
  </si>
  <si>
    <t>Нэг тонн нүүрсний үнэ</t>
  </si>
  <si>
    <t>Тээвэрлэлтийн зардал</t>
  </si>
  <si>
    <t>Бүх зууханд хэрэглэх нүүрсний нийт зардал</t>
  </si>
  <si>
    <t>Нэг куб метр мод бэлтгэх үнэ</t>
  </si>
  <si>
    <t>Бүх зууханд хэрэглэх модны нийт зардал</t>
  </si>
  <si>
    <t>ТҮЛШ, ХАЛААЛТЫН ЗАРДЛЫН ДҮН</t>
  </si>
  <si>
    <t xml:space="preserve">Байгууллагын өөрийн автомашины тоо бүгд </t>
  </si>
  <si>
    <t xml:space="preserve"> Үүнээс: Түргэн тусламжийн автомашин</t>
  </si>
  <si>
    <t xml:space="preserve">               Суудлын автомашин</t>
  </si>
  <si>
    <t xml:space="preserve">               Мотоцикл</t>
  </si>
  <si>
    <t xml:space="preserve">               Ачааны автомашин</t>
  </si>
  <si>
    <t xml:space="preserve">Нэг машины сүүлийн 3 жилийн гүйлтийн дундаж (км) </t>
  </si>
  <si>
    <t xml:space="preserve">Бүх машины сүүлийн 3 жилийн дундаж гүйлт  (км) </t>
  </si>
  <si>
    <t>Гүйлтийн 100 км-т зарцуулах шатахууны дундаж норм (литр)</t>
  </si>
  <si>
    <t>Шатахууны жилийн нийт хэрэгцээ (литр)</t>
  </si>
  <si>
    <t>Нэг литр шатахууны дундаж үнэ</t>
  </si>
  <si>
    <t>Шатахууны нийт зардал (21*26)</t>
  </si>
  <si>
    <t>Тослох материалын нийт хэрэгцээ</t>
  </si>
  <si>
    <t xml:space="preserve">Тослох материалын нийт зардал </t>
  </si>
  <si>
    <t xml:space="preserve">       ТЭЭВЭР (ШАТАХУУН)-ИЙН ЗАРДЛЫН ДҮН </t>
  </si>
  <si>
    <t>Нэг албан бичгийн дундаж зардал</t>
  </si>
  <si>
    <t xml:space="preserve">Шуудангийн нийт зардал </t>
  </si>
  <si>
    <t>Телефон утасны тоо</t>
  </si>
  <si>
    <t>Телефон утасны сарын суурь хураамж</t>
  </si>
  <si>
    <t xml:space="preserve">Телефон утасны жилийн суурь хураамж </t>
  </si>
  <si>
    <t xml:space="preserve">Телефон ярианы сарын дундаж зардал </t>
  </si>
  <si>
    <t xml:space="preserve">Телефон ярианы жилийн дундаж зардал </t>
  </si>
  <si>
    <t>Интернэтийн нийт зардал</t>
  </si>
  <si>
    <t>ШУУДАН ХОЛБООНЫ ЗАРДЛЫН ДҮН</t>
  </si>
  <si>
    <t>Сүүлийн 3 жилийн дунджаар 1 жилд зарцуулах нийт цэвэр ус (куб метр)</t>
  </si>
  <si>
    <t>Нэг куб метр цэвэр усны үнэ</t>
  </si>
  <si>
    <t>Цэвэр усны нийт зардал</t>
  </si>
  <si>
    <t>Сүүлийн 3 жилийн дунджаар 1 жилд зарцуулах нийт бохир ус (куб метр)</t>
  </si>
  <si>
    <t>Нэг куб метр бохир усны үнэ</t>
  </si>
  <si>
    <t>Бохир усны нийт зардал</t>
  </si>
  <si>
    <t>Зөөврийн усны нийт хэрэгцээ (тн)</t>
  </si>
  <si>
    <t>Зөөврийн усны нэгж (тн)-ийн үнэ</t>
  </si>
  <si>
    <t xml:space="preserve">Зөөврийн усны нийт зардал </t>
  </si>
  <si>
    <t>ЦЭВЭР, БОХИР УСНЫ ЗАРДЛЫН ДҮН (4+8+11)</t>
  </si>
  <si>
    <t>Албан томилолтоор ажиллагсадын тоо бүгд</t>
  </si>
  <si>
    <t xml:space="preserve"> Үүнээс: УБ хотод</t>
  </si>
  <si>
    <t xml:space="preserve">               аймагт</t>
  </si>
  <si>
    <t xml:space="preserve">               хөдөө суманд</t>
  </si>
  <si>
    <t xml:space="preserve">               өөр аймагт</t>
  </si>
  <si>
    <t>Нэг ажилтны томилолтын дундаж хугацаа</t>
  </si>
  <si>
    <t xml:space="preserve">Томилолтын нийт хүн хоног </t>
  </si>
  <si>
    <t xml:space="preserve"> Үүнээс: УБ хотод </t>
  </si>
  <si>
    <t xml:space="preserve">               аймагт </t>
  </si>
  <si>
    <t>Нэг ор хоногийн томилолтын зардал (Сангийн сайдын тушаалаар)</t>
  </si>
  <si>
    <t>Томилолтын нийт зардал</t>
  </si>
  <si>
    <t xml:space="preserve">               хөдөө суманд </t>
  </si>
  <si>
    <t>Буудлын нэг хүнд 1 хоногт ноогдох дундаж зардал</t>
  </si>
  <si>
    <t>Буудалд байрласны нийт зардал</t>
  </si>
  <si>
    <t xml:space="preserve">Замын зардал </t>
  </si>
  <si>
    <t xml:space="preserve">              өөр аймагт</t>
  </si>
  <si>
    <t>Дотоодын сургалт, семинар, хурал, зөвлөгөөнд оролцогчдын зардал (задаргаа тооцоогоор)</t>
  </si>
  <si>
    <t>Алсын дуудлагын томилолтын зардал (задаргаа тооцоогоор)</t>
  </si>
  <si>
    <t>ДОТООД АЛБАН ТОМИЛОЛТЫН ЗАРДЛЫН ДҮН</t>
  </si>
  <si>
    <t>Албан хэрэгцээний тогтмол хэвлэлийн тоо</t>
  </si>
  <si>
    <t>Хэвлэлийн дундаж үнэ</t>
  </si>
  <si>
    <t>НОМ, ХЭВЛЭЛ АВАХ ЗАРДЛЫН ДҮН</t>
  </si>
  <si>
    <t>ЭД ХОГШИЛ ХУДАЛДАН АВАХ ЗАРДЛЫН ДҮН</t>
  </si>
  <si>
    <t>Хөдөлмөр хамгааллын хувцас, хэрэгсэл авах зардал(задаргаа тооцоогоор)</t>
  </si>
  <si>
    <t>Эмнэлгийн зөөлөн эдлэл авах зардал (задаргаа тооцоогоор)</t>
  </si>
  <si>
    <t>Нормын сүүний зардал</t>
  </si>
  <si>
    <t>НОРМЫН ХУВЦАС, ЗӨӨЛӨН ЭДЛЭЛИЙН ЗАРДЛЫН ДҮН</t>
  </si>
  <si>
    <t>Ашиглаж байгаа орны тоо (батлагдсан орны тоо)</t>
  </si>
  <si>
    <t>Нэг орны жилд ашиглах дундаж хоног</t>
  </si>
  <si>
    <t>Нийт ор хоног</t>
  </si>
  <si>
    <t>Нэг ор хоногт нэг өвчтөнд ноогдох хоолны дундаж зардал</t>
  </si>
  <si>
    <t>Хоолны нийт зардал</t>
  </si>
  <si>
    <t>ХООЛНЫ ЗАРДЛЫН ДҮН</t>
  </si>
  <si>
    <t>ЭМИЙН ЗАРДЛЫН ДҮН</t>
  </si>
  <si>
    <t>Барилга, сантехникийн засварын зардал</t>
  </si>
  <si>
    <t>УРСГАЛ ЗАСВАРЫН ЗАРДЛЫН ДҮН</t>
  </si>
  <si>
    <t>БИЕИЙН ТАМИРЫН УРАЛДААН, ТЭМЦЭЭНИЙ ЗАРДЛЫН ДҮН</t>
  </si>
  <si>
    <t>Түрээсэлсэн талбайн хэмжээ (кв.м)</t>
  </si>
  <si>
    <t>Нэг кв.м талбайн түрээсийн сарын хөлс (Гэрээг хавсаргах)</t>
  </si>
  <si>
    <t>Жилд түрээслэх хугацаа (сараар)</t>
  </si>
  <si>
    <t>БАЙРНЫ ТҮРЭЭСИЙН ЗАРДЛЫН ДҮН</t>
  </si>
  <si>
    <t>Тэтгэвэрт гарах болон 5 жил тутамд олгох тэтгэмж авах хүмүүсийн нийт зардал</t>
  </si>
  <si>
    <t>Нэг удаагийн тэтгэмжийн зардал(задаргаа тооцоогоор)</t>
  </si>
  <si>
    <t>Шагнал, урамшууллын зардал(задаргаа тооцоогоор)</t>
  </si>
  <si>
    <t>НЭГ УДААГИЙН ТЭТГЭМЖ, УРАМШУУЛЛЫН ЗАРДЛЫН ДҮН</t>
  </si>
  <si>
    <t>УРСГАЛ ЗАРДЛЫН НИЙТ ДҮН</t>
  </si>
  <si>
    <t>ЗАРДЛЫГ САНХҮҮЖҮҮЛЭХ ЭХ ҮҮСВЭР</t>
  </si>
  <si>
    <t>Эрүүл мэндийн даатгалын сангаас санхүүжих</t>
  </si>
  <si>
    <t>Үндсэн үйл ажиллагааны орлогоос санхүүжих</t>
  </si>
  <si>
    <t>Туслах үйл ажиллагааны орлогоос санхүүжих</t>
  </si>
  <si>
    <t>Төсвөөс санхүүжих</t>
  </si>
  <si>
    <t xml:space="preserve">                   Байгууллагын тоо</t>
  </si>
  <si>
    <t xml:space="preserve">                  Ажиллагсад бүгд</t>
  </si>
  <si>
    <t>Үүнээс: Удирдах</t>
  </si>
  <si>
    <t xml:space="preserve">            Гүйцэтгэх</t>
  </si>
  <si>
    <t xml:space="preserve">            Үйлчлэх</t>
  </si>
  <si>
    <t>Гэрээт ажиллагсадын тоо</t>
  </si>
  <si>
    <t>Тэтгэвэрт гарах хүний тоо (нэрсийг хавсралтаар)</t>
  </si>
  <si>
    <t>Үүнээс: 1. Даатгуулагчийн өөрөө төлөх төлбөрийн орлого</t>
  </si>
  <si>
    <t>Тавилга</t>
  </si>
  <si>
    <t>Бага үнэтэй, түргэн элэгдэх зүйлс</t>
  </si>
  <si>
    <t>Унаа, хоолны хөнгөлөлт</t>
  </si>
  <si>
    <t>Бусдаар гүйцэтгүүлсэн ажил, үйлчилгээний хөлс</t>
  </si>
  <si>
    <t>Мэдээллийн технологийн үйлчилгээний хөлс</t>
  </si>
  <si>
    <t>Тээврийн хэрэгслийн оношлогоо</t>
  </si>
  <si>
    <t>БУСДААР ГҮЙЦЭТГҮҮЛСЭН АЖИЛ, ҮЙЛЧИЛГЭЭНИЙ ХӨЛСНИЙ ДҮН</t>
  </si>
  <si>
    <t>ТӨЛБӨР, ХУРААМЖИЙН ЗАРДЛЫН ДҮН</t>
  </si>
  <si>
    <t>Төлбөр, хураамж</t>
  </si>
  <si>
    <t>Тээврийн хэрэгслийн татвар</t>
  </si>
  <si>
    <t>Тэтгэвэрт гарахад олгох тэтгэмж авах хүмүүсийн нийт зардал</t>
  </si>
  <si>
    <t xml:space="preserve">       Үүнээс: 3 жил тутамд олгох тэтгэмж авах хүний тоо</t>
  </si>
  <si>
    <t xml:space="preserve">       Үүнээс: 5 жил тутамд олгох тэтгэмж авах хүний тоо</t>
  </si>
  <si>
    <t>/мян.төг/</t>
  </si>
  <si>
    <t>3 болон 5 жил тутамд олгох тэтгэмж авах хүний тоо (Нэрсийг хавсралтаар)</t>
  </si>
  <si>
    <t>ТҮ-12</t>
  </si>
  <si>
    <t>ТҮ-11</t>
  </si>
  <si>
    <t>ТҮ-9</t>
  </si>
  <si>
    <t>ТҮ-8</t>
  </si>
  <si>
    <t>ТҮ-7</t>
  </si>
  <si>
    <t>ТҮ-6</t>
  </si>
  <si>
    <t>ТҮ-5</t>
  </si>
  <si>
    <t>ТҮ-4</t>
  </si>
  <si>
    <t>ТҮ-3</t>
  </si>
  <si>
    <t>ТҮ-2</t>
  </si>
  <si>
    <t>ТҮ-1</t>
  </si>
  <si>
    <t xml:space="preserve">Үр дүнгийн урамшуулал /нөхцөлийн болон ажлын үр дүнгийн урамшууллыг хавсралтад тусд нь тооцох/ </t>
  </si>
  <si>
    <t>Харуул хамгаалалтын хөлс/задаргаа тооцоо, гэрээг хавсаргах</t>
  </si>
  <si>
    <t>Хог хаягдал устгах, ариутгал, цэвэрлэгээ</t>
  </si>
  <si>
    <t>ХОГ, ХАЯГДАЛ УСТГАХ, АРИУТГАЛ, ЦЭВЭРЛЭГЭЭ</t>
  </si>
  <si>
    <t>Ахуйн хог хаягдал /задаргаа тооцоо, гэрээ/</t>
  </si>
  <si>
    <t>Эмнэлгийн хог хаягдал /задаргаа тооцоо, гэрээ/</t>
  </si>
  <si>
    <t>Ариутгал халдваргүйжүүлэлтийн зардал /задаргаа тооцоо/</t>
  </si>
  <si>
    <t>Цэвэрлэгээний материалын зардал /задаргаа тооцоо/</t>
  </si>
  <si>
    <t>Тоног төхөөрөмж, багаж хэрэгслийн засварын зардал /сэлбэг/ задаргаа тооцоогоор/</t>
  </si>
  <si>
    <t>Автомашины засвар, үйлчилгээний зардал /сэлбэг, дугуй/</t>
  </si>
  <si>
    <t>төс</t>
  </si>
  <si>
    <t>Шинээр хэрэгжүүлэх арга хэмжээ</t>
  </si>
  <si>
    <t>Нийт</t>
  </si>
  <si>
    <t>Стандартаар байх орон тооны доод хязгаар</t>
  </si>
  <si>
    <t>3 болон 5 жил тутамд олгох тэтгэмж авах хүмүүсийн мөнгөн тэтгэмжийн нийт зардал</t>
  </si>
  <si>
    <t>Хичээл, үйлдвэрлэлийн дадлага хийх зардал /сургалтын хөтөлбөр, хүний тоо, задаргаа тооцоо, хүрэх үр дүн/</t>
  </si>
  <si>
    <t>Тээврийн хэрэгслийн даатгал /гэрээг хавсаргах/</t>
  </si>
  <si>
    <t>Жич: 1.Шинээр хэрэгжүүлэх арга хэмжээг үндсэн төсвөөс тусд нь салгаж 7 баганад төлөвлөх</t>
  </si>
  <si>
    <t>Бусад /ТҮ шатлалаар цалинждаг бусад албан тушаалыг оруулах/</t>
  </si>
  <si>
    <t>Мэргэжилтэн</t>
  </si>
  <si>
    <t>Дарга /тасаг нэгж, хэлтсийн дарга/</t>
  </si>
  <si>
    <t>4. Бүх онуудын төсөв болон хүлээгдэж буй гүйцэтгэл, төлөвлөгөөг хүснэгтэнд бүрэн бөглөхийг анхаарах</t>
  </si>
  <si>
    <t>Нэг бүрийн үнэ</t>
  </si>
  <si>
    <t>Эмнэлгийн хэрэгсэлийн зардал /тасаг нэгжээр задаргаа тооцоо/</t>
  </si>
  <si>
    <t>Урвалж бодис, оношлуурын зардал /задаргаа тооцоо/</t>
  </si>
  <si>
    <t>Цус цусан бүтээгдэхүүнтэй  холбоотой зардал /задаргаа тооцоо/</t>
  </si>
  <si>
    <t>Эм, тарианы зардал /тасаг нэгжээр задаргаа тооцоо/</t>
  </si>
  <si>
    <t>¹</t>
  </si>
  <si>
    <t>Албан тушаал</t>
  </si>
  <si>
    <t>Ангилал зэрэглэл</t>
  </si>
  <si>
    <t>Нийт дүн</t>
  </si>
  <si>
    <t>5. Хүснэгтэнд зайлшгүй мөр, багана нэмэх шаардлага гарвал хамгийн доод талын мөрний доор тусад нь нэмж бичнэ</t>
  </si>
  <si>
    <t xml:space="preserve">            3. Төлбөртэй тусламж, үйлчилгээний орлого (2015 оны зарцуулах саналыг хавсаргах)</t>
  </si>
  <si>
    <t>6.Нийт зардлын дүнг мянган төгрөгөөр, задаргаа үзүүлэлтүүд (тариф, орны тоо  г.м) -ийг төгрөгөөр буюу ямар нэгэн нарийвчлалгүй бичнэ</t>
  </si>
  <si>
    <t xml:space="preserve">            2. Нэмэлт тусламж, үйлчилгээний орлого (2015 оны зарцуулах саналыг хавсаргах)</t>
  </si>
  <si>
    <t>Нийт үнэ</t>
  </si>
  <si>
    <t>Хүснэгт 1</t>
  </si>
  <si>
    <t xml:space="preserve">                Цалин, хөлс болон нэмэгдэл урамшил</t>
  </si>
  <si>
    <t>Ажил олгогчоос нийгмийн даатгалд төлөх шимтгэл</t>
  </si>
  <si>
    <t xml:space="preserve">                   Бичиг хэрэг</t>
  </si>
  <si>
    <t>Маягтын зардал</t>
  </si>
  <si>
    <t xml:space="preserve">                   Гэрэл цахилгаан</t>
  </si>
  <si>
    <t xml:space="preserve">       Үүнээс: барилга шинээр өргөтгөл хийгдсэн болон ашиглалтад орсонтой холбоотой</t>
  </si>
  <si>
    <t>Задгайгаар төлөх цахилгаанын зардал (задаргааг хавсаргах)</t>
  </si>
  <si>
    <t xml:space="preserve">                   Түлш, халаалт</t>
  </si>
  <si>
    <t>Сүүлийн 3 жилийн дунджаар тоолуурын заалтын гүйлт</t>
  </si>
  <si>
    <t>Нэг кило калорийн үнэ</t>
  </si>
  <si>
    <t>Халаалтын хугацаанд төлөх нийт зардал гүйлтээр</t>
  </si>
  <si>
    <t>Сүүлийн 3 жилийн дунджаар халааж байгаа нийт талбай,  (куб метр)</t>
  </si>
  <si>
    <t>Халаалтын хугацаанд төлөх нийт зардал талбайгаар</t>
  </si>
  <si>
    <t>Сүүлийн 3 жилийн дунджаар  бүх зууханд зарцуулах нүүрсний хэмжээ (тн)</t>
  </si>
  <si>
    <t>Сүүлийн 3 жилийн дунджаар бүх зууханд зарцуулах мод (куб метр)</t>
  </si>
  <si>
    <t>Сүүлийн 3 жилийн дунджаар хэрэглээний халуун усны хэмжээ</t>
  </si>
  <si>
    <t>Хэрэглээний халуун усны нэгжийн үнэ</t>
  </si>
  <si>
    <t>Хэрэглээний халуун усны нийт зардал</t>
  </si>
  <si>
    <t xml:space="preserve">                   Тээвэр (шатахуун)</t>
  </si>
  <si>
    <t>Тослох материалын нэгжийн дундаж үнэ</t>
  </si>
  <si>
    <t xml:space="preserve">                   Шуудан, холбоо</t>
  </si>
  <si>
    <t>Албан бичгийн тоо</t>
  </si>
  <si>
    <t xml:space="preserve">                   Цэвэр, бохир ус</t>
  </si>
  <si>
    <t xml:space="preserve">                   Дотоод албан томилолт</t>
  </si>
  <si>
    <t>Онгоцоор:</t>
  </si>
  <si>
    <t>Вагоноор:</t>
  </si>
  <si>
    <t>Машинаар:</t>
  </si>
  <si>
    <t xml:space="preserve">                   Ном, хэвлэл авах</t>
  </si>
  <si>
    <t xml:space="preserve">                   Эд хогшил худалдан авах</t>
  </si>
  <si>
    <t>Хөдөлмөр хамгааллын хэрэглэл</t>
  </si>
  <si>
    <t xml:space="preserve">                   Нормын хувцас, зөөлөн эдлэл</t>
  </si>
  <si>
    <t xml:space="preserve">                   Хоол</t>
  </si>
  <si>
    <t xml:space="preserve">Донорын хоолны зардал(задаргаа тооцоогоор) </t>
  </si>
  <si>
    <t xml:space="preserve">Дархлаажуулалтын зардал (ЭМГ-ын хувьд хэрэв байдаг бол задаргаа тооцоогоор) </t>
  </si>
  <si>
    <t xml:space="preserve">                   Урсгал засвар</t>
  </si>
  <si>
    <t xml:space="preserve">                   Биеийн тамирын уралдаан, тэмцээн</t>
  </si>
  <si>
    <t xml:space="preserve">                   Байрны түрээсийн хөлс</t>
  </si>
  <si>
    <t>Интернэт олгож байгаа байгууллагын нэр</t>
  </si>
  <si>
    <t>Интернэтийн сарын суурь хураамж</t>
  </si>
  <si>
    <t xml:space="preserve">Интернэтийн жилийн суурь хураамж </t>
  </si>
  <si>
    <t xml:space="preserve">Интернэтийн сарын дундаж зардал </t>
  </si>
  <si>
    <t>Аудит, зэрэглэл тогтоох үйлчилгээний хөлс (дотоод)-Магадлан итгэмжлэлийн зардал</t>
  </si>
  <si>
    <t>Банк, санхүүгийн байгууллагын үйлчилгээний хураамж</t>
  </si>
  <si>
    <t xml:space="preserve">                   Нэг удаагийн тэтгэмж, урамшуулал</t>
  </si>
  <si>
    <t>Газрын хэмжээ</t>
  </si>
  <si>
    <t>Нэг га-ын төлбөр</t>
  </si>
  <si>
    <t>Газрын төлбөр</t>
  </si>
  <si>
    <t>Бараа үйлчилгээний бусад зардал</t>
  </si>
  <si>
    <t>Хөтөлбөр болон төслийн дотоод урсгал зардал</t>
  </si>
  <si>
    <t>Багаж, техник, хэрэгсэл</t>
  </si>
  <si>
    <t>Мэргэжил дээшлүүлэх сургалтын нийт зардал /сургалтын хөтөлбөр, хүний тоо, задаргаа тооцоо, хүрэх үр дүн/-ЭМХТ-ийн хувьд</t>
  </si>
  <si>
    <t>Сургалт , семинар зохион байгуулах зардал /сургалтын хөтөлбөр, хүний тоо, задаргаа тооцоо, хүрэх үр дүн/-ЭМХТ-ийн хувьд</t>
  </si>
  <si>
    <t>БАРАА ҮЙЛЧИЛГЭЭНИЙ БУСАД ЗАРДЛЫН ДҮН</t>
  </si>
  <si>
    <t>2. Шинэ арга хэмжээнд үйл ажиллагаа өргөжүүлсэн болон өргөтгөл, шинэ барилага , тогтоол шийдвэрээр батлагдсан бусад арга хэмжээнүүдийг оруулна</t>
  </si>
  <si>
    <t xml:space="preserve">3. Зардал тус бүрийн Задрагаа тооцоо хавсаргах </t>
  </si>
  <si>
    <t>Үндсэн ажиллагсадын нийт орон тоо /хүснэгт2/</t>
  </si>
  <si>
    <t>Төр хариуцах эмийн зардал (хавсралт хүснэгтийн дагуу задаргаа тооцоогоор)</t>
  </si>
  <si>
    <t>Эрүүл мэндийн хөгжлийн төв</t>
  </si>
  <si>
    <t>Л.Оюунчимэг</t>
  </si>
  <si>
    <t>Албаны  äàðãà</t>
  </si>
  <si>
    <t>Ò¯-11-3</t>
  </si>
  <si>
    <t>Ñ.Ëõàãâàñ¿ðýí</t>
  </si>
  <si>
    <t>Íÿãòëàí áîäîã÷</t>
  </si>
  <si>
    <t>Ò¯-7-5</t>
  </si>
  <si>
    <t xml:space="preserve">Мэргэжилтэн </t>
  </si>
  <si>
    <t>Н.Нарангэрэл</t>
  </si>
  <si>
    <t>Ñ.Íàðàíòóÿà</t>
  </si>
  <si>
    <t>Àðõèâ áè÷èã õýðãèéí ýðõëýã÷</t>
  </si>
  <si>
    <t>Ò¯-5-5</t>
  </si>
  <si>
    <t>Ч.Тунгалаг</t>
  </si>
  <si>
    <t>ТҮ-7-1</t>
  </si>
  <si>
    <t>Б.Доржмягмар</t>
  </si>
  <si>
    <t>Мýðãýæèëòýí</t>
  </si>
  <si>
    <t>ТҮ-7-5</t>
  </si>
  <si>
    <t>Б.Болдбаатар</t>
  </si>
  <si>
    <t>Ö.Àìàðæàðãàë</t>
  </si>
  <si>
    <t>П.Эрхэмбаяр</t>
  </si>
  <si>
    <t>Г.Батцэцэг</t>
  </si>
  <si>
    <t>Х.Ганцэцэг</t>
  </si>
  <si>
    <t>Д.Дондогмаа</t>
  </si>
  <si>
    <t>Я.Бадамсүрэн</t>
  </si>
  <si>
    <t>ТҮ-7-3</t>
  </si>
  <si>
    <t>Р.Энхсүрэн</t>
  </si>
  <si>
    <t>Ò¯-7-1</t>
  </si>
  <si>
    <t>Б.Санж-Очир</t>
  </si>
  <si>
    <t>Б.Батцоож</t>
  </si>
  <si>
    <t>Ц.Мөнх-Од</t>
  </si>
  <si>
    <t>ТҮ-7-4</t>
  </si>
  <si>
    <t>Ш.Энхзаяа</t>
  </si>
  <si>
    <t>Д.Бямбадорж</t>
  </si>
  <si>
    <t>Б.Нямсүрэн</t>
  </si>
  <si>
    <t>Ө.Одгэрэл</t>
  </si>
  <si>
    <t>Үйлчлэгч</t>
  </si>
  <si>
    <t>ТҮ-1-5</t>
  </si>
  <si>
    <t>Ц.Саранцэцэг</t>
  </si>
  <si>
    <t>Төвийн захирлын тушаал</t>
  </si>
  <si>
    <t>А4  хэвлэмэл хуудас</t>
  </si>
  <si>
    <t>А5 хэвлэмэл хуудас</t>
  </si>
  <si>
    <t>Гадаад бичгийн   хэвлэмэл хуудас А4</t>
  </si>
  <si>
    <t>Хурлын тэмдэглэл А4</t>
  </si>
  <si>
    <t>Дугтуй А4</t>
  </si>
  <si>
    <t>Дугтуй А5</t>
  </si>
  <si>
    <t>Дугтуй DL</t>
  </si>
  <si>
    <t xml:space="preserve">Нийт </t>
  </si>
  <si>
    <t>Багаж хэрэгсэл</t>
  </si>
  <si>
    <t>Нэр</t>
  </si>
  <si>
    <t>тоо хэмжээ</t>
  </si>
  <si>
    <t xml:space="preserve">Дрилл Bosh том </t>
  </si>
  <si>
    <t xml:space="preserve">Одоогоор байхгүй байгаа учраас шинээр авах шаардлага. </t>
  </si>
  <si>
    <t>Баттерейтэй дрилл Bosh</t>
  </si>
  <si>
    <t>Дрилл ажиллагаагүй болж актлагдсан учраас шинээр авах шаардлагатай.</t>
  </si>
  <si>
    <t>Түлгүүрийн комм</t>
  </si>
  <si>
    <t>шинээр авах шаардлагатай</t>
  </si>
  <si>
    <t>Автомашины ком дамкрад</t>
  </si>
  <si>
    <t>Жолооч нар засвар үйлчилгээ хийхэд нэн шаардлагатай</t>
  </si>
  <si>
    <t>Принтер/3 үйлдэлтэй/ автоматаар татаж  скайнер хийдэг /Canon Image class  4680/</t>
  </si>
  <si>
    <t>Архивын  үдэгч машин</t>
  </si>
  <si>
    <t>Сүлжээний ком багаж</t>
  </si>
  <si>
    <t>Пилетка /Лисва/</t>
  </si>
  <si>
    <t>Будаа агшаагч /8л/</t>
  </si>
  <si>
    <t>Шарах шүүгээ</t>
  </si>
  <si>
    <t>Автомат холигч</t>
  </si>
  <si>
    <t>махны машин</t>
  </si>
  <si>
    <t>Халуун тогоо /36ф/</t>
  </si>
  <si>
    <t>Хөргөгч /том 4 хаалгат/</t>
  </si>
  <si>
    <t xml:space="preserve">Тавилга </t>
  </si>
  <si>
    <t>Ширээ</t>
  </si>
  <si>
    <t>Хэрэгцээ шаардлага хангахгүй, эвдрэл гэмтэл ихтэй үүссэн</t>
  </si>
  <si>
    <t>Сандал</t>
  </si>
  <si>
    <t>Шүүгээ</t>
  </si>
  <si>
    <t>Зарим мэргэжилтэнд жижиг шүүгээ хүрэлцээгүй</t>
  </si>
  <si>
    <t>Ширээний хаалт</t>
  </si>
  <si>
    <t>Хадгаламжийн нэгжийн хайрцаг</t>
  </si>
  <si>
    <t>Баримт бичиг хадгалах зориулалтын сейф</t>
  </si>
  <si>
    <t>Тоо ширхэг</t>
  </si>
  <si>
    <t>Нийт зардал</t>
  </si>
  <si>
    <t>ширхэг</t>
  </si>
  <si>
    <t>Сүлжээний толгой</t>
  </si>
  <si>
    <t>хайрцаг</t>
  </si>
  <si>
    <t>Архивын кардонан хавтас</t>
  </si>
  <si>
    <t>Наалтны цаас</t>
  </si>
  <si>
    <t xml:space="preserve">Нормын хувцас зөөлөн эдлэл </t>
  </si>
  <si>
    <t>Үйлчлэгчийн ажлын хувцас  3ш*80000   240000</t>
  </si>
  <si>
    <t xml:space="preserve">Слесарийн боихрын хувцас 1ш *250000 250000 </t>
  </si>
  <si>
    <t>Хийгдэх ажил</t>
  </si>
  <si>
    <t xml:space="preserve">Тайлбар </t>
  </si>
  <si>
    <t>Тоо хэмжээ</t>
  </si>
  <si>
    <t>Төсөвлөсөн  нийт  зардал</t>
  </si>
  <si>
    <t>Төв байрны вакум цонхны засвар</t>
  </si>
  <si>
    <t>Зарим цонхны амалгааны хэсгээр завсар гарсан, цонхны резин хатаж хатууран уян байдлаа алддаг. Өвлийн улиралд сийгэж, цанцдаг. Дулааны улиралд гадаах шороо, тоос ихээр орох нөхцөл болдог.</t>
  </si>
  <si>
    <t>2-р байрны вакум цонх болон хаалганы амалгаа, резин, торыг засварлах</t>
  </si>
  <si>
    <t>Автогражийн хаалга ашиглалтын хугацаанд ролик элэгдэж, зам нь гажих, хаалганы холбоос мултарч байгаа.</t>
  </si>
  <si>
    <t>2-р байрны үүдний хэсгийн довжоог шинэчлэн засварлах</t>
  </si>
  <si>
    <t>Довжооны дээврийн будаг, шавар нь ховхорсон.</t>
  </si>
  <si>
    <t xml:space="preserve">Хуваарийн дагуу хийгдэх засвар, үйлчилгээ </t>
  </si>
  <si>
    <t>Төв болон 2-р байранд хийгдэх хуваарьт засвар үйлчилгээ. Халаалт ирэх болон хаахтай холбоотой засвар үйлчилгээг хийнэ.</t>
  </si>
  <si>
    <t>5. Их засвар</t>
  </si>
  <si>
    <t>Зардлын нэр</t>
  </si>
  <si>
    <t>Төв байрны дотор дулааны шугам</t>
  </si>
  <si>
    <t>Засварлах шаардлагатай. Зарим хэсгээр цооролт үүссэн. Дулааны алдагдалтай</t>
  </si>
  <si>
    <t>Төв байрны дотор бохирын шугам шинэчлэх</t>
  </si>
  <si>
    <t>Бөглөрөлт ихтэй, дотор ханийн хэсгээс сорогдсон. Цооролт ихтэй</t>
  </si>
  <si>
    <t>Бүгд</t>
  </si>
  <si>
    <t>2.  Тоног төхөөрөмж, багаж хэрэгслийн засварын зардал /сэлбэг/ задаргаа тооцоогоор/</t>
  </si>
  <si>
    <t>принтерийн засвар үйлчилгээ</t>
  </si>
  <si>
    <t>Canon image runner 2530 -ийн бул шинээр авах</t>
  </si>
  <si>
    <t>Хэрэглээ өндөртэй, хувиарт нормын дагуу солих шаардлагатай</t>
  </si>
  <si>
    <t>image class MF4122 -ийн бул шинээр авах</t>
  </si>
  <si>
    <t xml:space="preserve">Баталгаат нормын дагуу солих шаардлагатай. </t>
  </si>
  <si>
    <t>Canon 2015 -ийн бул шинээр авах</t>
  </si>
  <si>
    <t>Эвдэрсэн. Мөн цаасаа татах хэсэг эвдэрсэн.</t>
  </si>
  <si>
    <t>Hp 1010-ийн бул</t>
  </si>
  <si>
    <t>Баталгаат нормын дагуу хэвлэх хуудасны тоо хэтэрсэн байгаа бөгөөд шаардлага хангахгүй хэвлэж байна.</t>
  </si>
  <si>
    <t>Hp 1200-ийн бул</t>
  </si>
  <si>
    <t>Солих шаардлагатай. Хэвлэх хуудасны тогоосон норм хэтэрсэн.</t>
  </si>
  <si>
    <t>Hp P1102</t>
  </si>
  <si>
    <t>Hp 1606 dn</t>
  </si>
  <si>
    <t>Баталгаат нормын дагуу хэвлэх хуудасны тоо, хэтэрсэн байгаа бөгөөд шаардлага хангахгүй хэвлэж байна.</t>
  </si>
  <si>
    <t>SCX-4623F</t>
  </si>
  <si>
    <t>Бул эвдэрсэн. Хэвлэх хуудасны тоо хэтэрсэн.</t>
  </si>
  <si>
    <t>Canon LBP 3000</t>
  </si>
  <si>
    <t>Хэвлэх хуудасны норм хэтэрсэн. Солих шаардлагатай.</t>
  </si>
  <si>
    <t>LBP-3200</t>
  </si>
  <si>
    <t>Баталгаат нормын дагуу хэвлэх хуудасны тоо, хэтэрсэн байгаа бөгөөд шаардлага хангахгүй хэвлэж байна. Шинээр солих шаардалагтай</t>
  </si>
  <si>
    <t>Canon image runner 2420L</t>
  </si>
  <si>
    <t xml:space="preserve">Хэвлэх норм хэтэрсэн. Шаардлага хангахааргүй хэвлэдэг. </t>
  </si>
  <si>
    <t>Canon LBP 6650 dn</t>
  </si>
  <si>
    <t>Шаардлага хангахгүй хэвлэдэг</t>
  </si>
  <si>
    <t>3. Автомашины урсгал засвар, үйлчилгээ</t>
  </si>
  <si>
    <t>Hyundai Kia sportage</t>
  </si>
  <si>
    <t>аккумлятор</t>
  </si>
  <si>
    <t>Гүйлтийн норм хэтрэлттэй байгаа бөгөөд зайлшгүй солих шаардлагатай</t>
  </si>
  <si>
    <t>дугуй</t>
  </si>
  <si>
    <t>Дүн</t>
  </si>
  <si>
    <t>Hyundai Starex микроавтобус</t>
  </si>
  <si>
    <t>Нормын гүйлт хэтрэлттэй байгаа.</t>
  </si>
  <si>
    <t>Амортизатор</t>
  </si>
  <si>
    <t xml:space="preserve">Hyundai Accent </t>
  </si>
  <si>
    <t>Автомашины бусад засвар /сэлбэг хэрэгсэл/</t>
  </si>
  <si>
    <t>Жилийн хугацаанд гарах жижиг болон гэнэтийн засвар үйлчилгээнд зарцуулна.</t>
  </si>
  <si>
    <t>Үндсэн үйл ажиллагааны орлого</t>
  </si>
  <si>
    <t>1 сард шалгалтанд орох хүний тоо</t>
  </si>
  <si>
    <t>Нэг удаагийн шалгалт төлбөр</t>
  </si>
  <si>
    <t>1 сард орох орлого</t>
  </si>
  <si>
    <t>Жилийн нийт орлого</t>
  </si>
  <si>
    <t>Шалгалтын төлбөр</t>
  </si>
  <si>
    <t>Багц цагаар сунгах гэрчилгээний төлбөр</t>
  </si>
  <si>
    <t>Шалгалтанд тэнцсэн иргэдийн зөвшөөрлийн гэрчилгээний төлбөр /2 жилиийн зөвшөөрлийн төлбөр/
 10000 төгрөг</t>
  </si>
  <si>
    <t>Шалгалтанд тэнцсэн иргэдийн зөвшөөрлийн гэрчилгээний төлбөр / 5 жилиийн зөвшөөрлийн төлбөр/  5000 төгрөг</t>
  </si>
  <si>
    <t>НИЙТ ДҮН</t>
  </si>
  <si>
    <t>2. Туслах үйл ажиллагааны орлого</t>
  </si>
  <si>
    <t>Туслах үйл ажиллагааны орлого</t>
  </si>
  <si>
    <t>Орны тоо, Түрээслэгчийн тоо</t>
  </si>
  <si>
    <t>1 сарын төлбөр</t>
  </si>
  <si>
    <t>Байрны орны төлбөр</t>
  </si>
  <si>
    <t>Сургалтын заалны түрээс</t>
  </si>
  <si>
    <t>Нэгж үнэ</t>
  </si>
  <si>
    <t>Зардлын зүйл</t>
  </si>
  <si>
    <t>Нэг сарын төлбөр</t>
  </si>
  <si>
    <t>Жилийн төлбөр</t>
  </si>
  <si>
    <t>Харуул хамгаалал 1-р байр</t>
  </si>
  <si>
    <t>Харуул хамгаалал 2-р байр</t>
  </si>
  <si>
    <t>Хэмжих нэгж</t>
  </si>
  <si>
    <t>Нэгжийн үнэ</t>
  </si>
  <si>
    <t>удаа</t>
  </si>
  <si>
    <t>Хэвлэл захиалах</t>
  </si>
  <si>
    <t>ш</t>
  </si>
  <si>
    <t>Салбар дундын хамтын ажиллагааны хүрээнд хамтын ажиллагааны санал солилцох уулзалт зохион байгуулах</t>
  </si>
  <si>
    <t>Байгууллагын брэндтэй болж байгаатай холбогдуулан дурсгалын зүйл хэвлүүлэх / аяга, бал, тэмдэглэлийн дэвтэр гм/</t>
  </si>
  <si>
    <t>Нийт төсөв</t>
  </si>
  <si>
    <t>Сургалтын төрөл</t>
  </si>
  <si>
    <t>Сургалтын багц</t>
  </si>
  <si>
    <t>1 багцын төлбөр</t>
  </si>
  <si>
    <t>32 багц цаг</t>
  </si>
  <si>
    <t>8 сар</t>
  </si>
  <si>
    <t>12 багц цаг</t>
  </si>
  <si>
    <t>3 сар</t>
  </si>
  <si>
    <t>16 багц цаг</t>
  </si>
  <si>
    <t>10 багц цаг</t>
  </si>
  <si>
    <t>Зайн сургалт</t>
  </si>
  <si>
    <t>Удирдах ажилтны сургалт</t>
  </si>
  <si>
    <t>1 сар</t>
  </si>
  <si>
    <t>Хүний нөөцийн менежерүүдийн сургалт</t>
  </si>
  <si>
    <t>Шалгалтын сорилын сангийн шинэчлэл</t>
  </si>
  <si>
    <t>Сорилын эмхэтгэл, гарын авлага</t>
  </si>
  <si>
    <t>2000 ш</t>
  </si>
  <si>
    <t>Б.Норолхоосүрэн</t>
  </si>
  <si>
    <t>Н.Цэндмаа</t>
  </si>
  <si>
    <t>Э.Батжаргал</t>
  </si>
  <si>
    <t>Г.Бүжмаа</t>
  </si>
  <si>
    <t>П.Балжир</t>
  </si>
  <si>
    <t>Э.Ундармаа</t>
  </si>
  <si>
    <t>Дэд дүн</t>
  </si>
  <si>
    <t>4 багц цаг</t>
  </si>
  <si>
    <t>8 багц цаг</t>
  </si>
  <si>
    <t>2 сар</t>
  </si>
  <si>
    <t xml:space="preserve">6000 сорил </t>
  </si>
  <si>
    <t>1 сорил 2000</t>
  </si>
  <si>
    <t>1 сорил 4500</t>
  </si>
  <si>
    <t>Архивын нягтаршуулсан шүүгээ</t>
  </si>
  <si>
    <t>1 000 000</t>
  </si>
  <si>
    <t>1 225 000</t>
  </si>
  <si>
    <t>190 000</t>
  </si>
  <si>
    <t>300 000</t>
  </si>
  <si>
    <t>60 000</t>
  </si>
  <si>
    <t>Түмпэн</t>
  </si>
  <si>
    <t>9 000</t>
  </si>
  <si>
    <t>1 500 000</t>
  </si>
  <si>
    <t>Шуудангийн  хүргэлтийн зардал</t>
  </si>
  <si>
    <t>НИЙТ</t>
  </si>
  <si>
    <t>1.    Урсгал засвар</t>
  </si>
  <si>
    <t>Төвийн цайны газрын тохижолт</t>
  </si>
  <si>
    <t>Өрөөний хана, тааз, хаалга болон тоног төхөөрөмж муудсан, ашиглах боломжгүй эвдэрсэн</t>
  </si>
  <si>
    <t>Хийгдэх ажлын нэр</t>
  </si>
  <si>
    <t>Мөнгөн тэтгэмж, тусламж</t>
  </si>
  <si>
    <t>Хамтын гэрээний 4.8, 4.10-д заагдсан тэтгэмж, тусламж</t>
  </si>
  <si>
    <t> Төрсөн эцэг эх, эгч ах  нас барах, гэнэтийн аюулд өртөх</t>
  </si>
  <si>
    <t> 6</t>
  </si>
  <si>
    <t>Үр хүүхэд, эхнэр, нөхөр нас барах</t>
  </si>
  <si>
    <t xml:space="preserve">эмээ өвөө, </t>
  </si>
  <si>
    <t>1,200.000₮</t>
  </si>
  <si>
    <t> 2</t>
  </si>
  <si>
    <t> Хамтын гэрээний 4.7 дах заалт  /түлээ нүүрс/</t>
  </si>
  <si>
    <t> 1</t>
  </si>
  <si>
    <t>10 </t>
  </si>
  <si>
    <t>Шагнал урамшуулал</t>
  </si>
  <si>
    <t>Хамтын гэрээний 3.3-д заагдсан /Төр, засгийн шагнал/</t>
  </si>
  <si>
    <t>Хамтын гэрээний 3.3-д заагдсан /Эрүүлийг хамгаалахын тэргүүний ажилтан/</t>
  </si>
  <si>
    <t>100.000₮</t>
  </si>
  <si>
    <t>500.000₮</t>
  </si>
  <si>
    <t>Хамтын гэрээний 3.3-д заагдсан /Жуух бичиг/</t>
  </si>
  <si>
    <t xml:space="preserve">Дэд дүн </t>
  </si>
  <si>
    <t>Арга хэмжээ</t>
  </si>
  <si>
    <t xml:space="preserve">Хамтын гэрээний 4.5-д заагдсан ахмадуудыг хүлээн авч хүндэтгэл үзүүлэх </t>
  </si>
  <si>
    <t>2 удаа             / цагаан сар, ахмадын өдөр/</t>
  </si>
  <si>
    <t>Хамтын гэрээний 4.5-д заагдсан тэмдэглэлт арга хэмжээ</t>
  </si>
  <si>
    <t>/ эмнэлгийн ажилчдын баяр, шинэ жил/</t>
  </si>
  <si>
    <t xml:space="preserve">2 удаа </t>
  </si>
  <si>
    <t>80 ажилтан</t>
  </si>
  <si>
    <t xml:space="preserve">Хамтын гэрээний 4.5-д заагдсан </t>
  </si>
  <si>
    <t>2 удаа</t>
  </si>
  <si>
    <t>100 хүүхэд</t>
  </si>
  <si>
    <t>Спортын тэмцээн уралдаанд</t>
  </si>
  <si>
    <t>25 хүн</t>
  </si>
  <si>
    <t>30 000</t>
  </si>
  <si>
    <t>1.500.000 ₮</t>
  </si>
  <si>
    <t>1.500.000</t>
  </si>
  <si>
    <t>25.700.000</t>
  </si>
  <si>
    <r>
      <t>500.000 </t>
    </r>
    <r>
      <rPr>
        <sz val="9"/>
        <color rgb="FF000000"/>
        <rFont val="Tahoma"/>
        <family val="2"/>
      </rPr>
      <t>₮</t>
    </r>
  </si>
  <si>
    <r>
      <t> 3.000.000</t>
    </r>
    <r>
      <rPr>
        <sz val="9"/>
        <color rgb="FF000000"/>
        <rFont val="Tahoma"/>
        <family val="2"/>
      </rPr>
      <t>₮</t>
    </r>
  </si>
  <si>
    <r>
      <t>500.000</t>
    </r>
    <r>
      <rPr>
        <sz val="9"/>
        <color rgb="FF000000"/>
        <rFont val="Tahoma"/>
        <family val="2"/>
      </rPr>
      <t>₮</t>
    </r>
  </si>
  <si>
    <r>
      <t>1.500.000</t>
    </r>
    <r>
      <rPr>
        <sz val="9"/>
        <color rgb="FF000000"/>
        <rFont val="Tahoma"/>
        <family val="2"/>
      </rPr>
      <t>₮</t>
    </r>
  </si>
  <si>
    <r>
      <t>300 000</t>
    </r>
    <r>
      <rPr>
        <sz val="9"/>
        <color rgb="FF000000"/>
        <rFont val="Tahoma"/>
        <family val="2"/>
      </rPr>
      <t>₮</t>
    </r>
  </si>
  <si>
    <r>
      <t> 250.000</t>
    </r>
    <r>
      <rPr>
        <sz val="9"/>
        <color rgb="FF000000"/>
        <rFont val="Tahoma"/>
        <family val="2"/>
      </rPr>
      <t>₮</t>
    </r>
  </si>
  <si>
    <r>
      <t> 2.500.000</t>
    </r>
    <r>
      <rPr>
        <sz val="9"/>
        <color rgb="FF000000"/>
        <rFont val="Tahoma"/>
        <family val="2"/>
      </rPr>
      <t>₮</t>
    </r>
  </si>
  <si>
    <r>
      <t>8.200.000</t>
    </r>
    <r>
      <rPr>
        <sz val="9"/>
        <color rgb="FF000000"/>
        <rFont val="Tahoma"/>
        <family val="2"/>
      </rPr>
      <t>₮</t>
    </r>
  </si>
  <si>
    <r>
      <t>150.000</t>
    </r>
    <r>
      <rPr>
        <sz val="9"/>
        <color rgb="FF000000"/>
        <rFont val="Tahoma"/>
        <family val="2"/>
      </rPr>
      <t>₮</t>
    </r>
  </si>
  <si>
    <r>
      <t>750.000</t>
    </r>
    <r>
      <rPr>
        <sz val="9"/>
        <color rgb="FF000000"/>
        <rFont val="Tahoma"/>
        <family val="2"/>
      </rPr>
      <t>₮</t>
    </r>
  </si>
  <si>
    <r>
      <t>50.000</t>
    </r>
    <r>
      <rPr>
        <sz val="9"/>
        <color rgb="FF000000"/>
        <rFont val="Tahoma"/>
        <family val="2"/>
      </rPr>
      <t>₮</t>
    </r>
  </si>
  <si>
    <r>
      <t>250.000</t>
    </r>
    <r>
      <rPr>
        <sz val="9"/>
        <color rgb="FF000000"/>
        <rFont val="Tahoma"/>
        <family val="2"/>
      </rPr>
      <t>₮</t>
    </r>
  </si>
  <si>
    <r>
      <t>3.800.000</t>
    </r>
    <r>
      <rPr>
        <sz val="9"/>
        <color rgb="FF000000"/>
        <rFont val="Tahoma"/>
        <family val="2"/>
      </rPr>
      <t>₮</t>
    </r>
  </si>
  <si>
    <r>
      <t>90.000</t>
    </r>
    <r>
      <rPr>
        <sz val="9"/>
        <color rgb="FF000000"/>
        <rFont val="Tahoma"/>
        <family val="2"/>
      </rPr>
      <t>₮</t>
    </r>
  </si>
  <si>
    <r>
      <t>14.400.000</t>
    </r>
    <r>
      <rPr>
        <sz val="9"/>
        <color rgb="FF000000"/>
        <rFont val="Tahoma"/>
        <family val="2"/>
      </rPr>
      <t>₮</t>
    </r>
  </si>
  <si>
    <r>
      <t>30,000</t>
    </r>
    <r>
      <rPr>
        <sz val="9"/>
        <color rgb="FF000000"/>
        <rFont val="Tahoma"/>
        <family val="2"/>
      </rPr>
      <t>₮</t>
    </r>
  </si>
  <si>
    <r>
      <t>6.000.000</t>
    </r>
    <r>
      <rPr>
        <sz val="9"/>
        <color rgb="FF000000"/>
        <rFont val="Tahoma"/>
        <family val="2"/>
      </rPr>
      <t>₮</t>
    </r>
  </si>
  <si>
    <r>
      <t>ё</t>
    </r>
    <r>
      <rPr>
        <sz val="9"/>
        <color rgb="FF000000"/>
        <rFont val="Arial Mon"/>
        <family val="2"/>
      </rPr>
      <t xml:space="preserve">ëêà, õ¿¿õäèéí áàÿð </t>
    </r>
  </si>
  <si>
    <t>Улирал тутмын мэдээ хэвлүүлэх</t>
  </si>
  <si>
    <t xml:space="preserve">"Эрүүл мэндийн үзүүлэлт"-2015 номыг боловсруулах, хэвлүүлэх, орчуулах
</t>
  </si>
  <si>
    <t>хэвлүүлэх -21000
орчуулах-1500 000</t>
  </si>
  <si>
    <t xml:space="preserve">"Эрүүл мэндийн үзүүлэлт" нугалбар хэвлүүлэх
</t>
  </si>
  <si>
    <t xml:space="preserve">Эрүүл мэндийн тайлангийн нэгтгэл 4 боть ном хавтаслуулах
</t>
  </si>
  <si>
    <t xml:space="preserve">Эрүүл мэндийн мэдээллийн мэргэжилтэн, статистикч эмч нарт жилийн тайлангийн сургалт зохион байгуулах
</t>
  </si>
  <si>
    <t>хүний тоо</t>
  </si>
  <si>
    <t xml:space="preserve">21 аймаг, нийслэл нийт 60 хүн
</t>
  </si>
  <si>
    <t xml:space="preserve">Аймаг, нийслэлийн Эрүүл мэндийн байгууллагуудад дэмжлэгт хяналт үнэлгээ хийх
</t>
  </si>
  <si>
    <t>байгууллагын тоо</t>
  </si>
  <si>
    <t xml:space="preserve">3 аймаг, нийслэл 5 байгууллага
</t>
  </si>
  <si>
    <t>аймаг-1 300 000
нийслэлд-300000</t>
  </si>
  <si>
    <t>12 сар</t>
  </si>
  <si>
    <t xml:space="preserve">"Эрүүл мэндийн статистик мэдээллийн талаар авах арга хэмжээний тухай" тушаалын өөрчлалт хийгдэж, шинэчлэгдсэн маягтуудыг хэвлүүлэх
</t>
  </si>
  <si>
    <t>Бодит тоон эмхтгэл-2016 хэвлүүлэх</t>
  </si>
  <si>
    <t>Мэргэжлийн үйл ажиллагаа эрхлэх зөвшөөрлийн сорилын санг шинэчлэх, 
хэвлүүлэх зардал</t>
  </si>
  <si>
    <t>Аймгийн нэгдсэн эмнэлэг болон БОЭТ-ийн эмнэлгийн тоног төхөөрөмжид шалгалт тохируулга хийх ажлын  томилолт</t>
  </si>
  <si>
    <t>Зам тээвэр</t>
  </si>
  <si>
    <t>хүн</t>
  </si>
  <si>
    <t>2 * 2</t>
  </si>
  <si>
    <t>Байр</t>
  </si>
  <si>
    <t>хоног</t>
  </si>
  <si>
    <t>7 * 2</t>
  </si>
  <si>
    <t>Хоол</t>
  </si>
  <si>
    <t xml:space="preserve">хоног </t>
  </si>
  <si>
    <t>Ачаа</t>
  </si>
  <si>
    <t>8 * 2</t>
  </si>
  <si>
    <t>кг</t>
  </si>
  <si>
    <t>50 * 2</t>
  </si>
  <si>
    <t>4 * 2</t>
  </si>
  <si>
    <t>5 * 2</t>
  </si>
  <si>
    <t>6 * 2</t>
  </si>
  <si>
    <t>Кг</t>
  </si>
  <si>
    <t>9 * 2</t>
  </si>
  <si>
    <t>11 * 2</t>
  </si>
  <si>
    <t>10 * 2</t>
  </si>
  <si>
    <t>Нийт зардал 2,950,500</t>
  </si>
  <si>
    <t>Тугалга</t>
  </si>
  <si>
    <t xml:space="preserve">ширхэг </t>
  </si>
  <si>
    <t>Үлээдэг алх</t>
  </si>
  <si>
    <t>Гэрэлтэй томруулдаг шил</t>
  </si>
  <si>
    <t>Флат хавчдаг тиски</t>
  </si>
  <si>
    <t xml:space="preserve">Төмөр тиски </t>
  </si>
  <si>
    <t>Гагнуурын алх</t>
  </si>
  <si>
    <t>Тугалга сорогч</t>
  </si>
  <si>
    <t>Тэжээлийн блок</t>
  </si>
  <si>
    <t>Ширээний гэрэл</t>
  </si>
  <si>
    <t xml:space="preserve">Тестер </t>
  </si>
  <si>
    <t>Сургалтад ашиглан хэмжилт хийх эмнэлгийн тоног төхөөрөмж</t>
  </si>
  <si>
    <t xml:space="preserve">Нийт дүн </t>
  </si>
  <si>
    <t xml:space="preserve">Эрүүл мэндийн салбарт ашиглагдаж байгаа эмнэлгийн тоног төхөөрөмжид </t>
  </si>
  <si>
    <t>шалгалт тохируулга хийхэд нэн шаардлагатай байгаа стандартууд худалдан авах</t>
  </si>
  <si>
    <t>Олон улсад харгалзах стандартын дугаар</t>
  </si>
  <si>
    <t>Нэршил /Англи/</t>
  </si>
  <si>
    <t>Нэршил /Монгол/</t>
  </si>
  <si>
    <t>Үнэ /CHF/</t>
  </si>
  <si>
    <t>Үнэ /Төгрөг/</t>
  </si>
  <si>
    <t>IEC 60601-2-44:2009</t>
  </si>
  <si>
    <t>Medical electrical equipment - Part 2-44: Particular requirements for the basic safety and essential performance of X-ray equipment for computed tomography</t>
  </si>
  <si>
    <t xml:space="preserve">Компьютер томографын үндсэн үзүүлэлт болон аюулгүй ажиллагаанд тавигдах шаардлага </t>
  </si>
  <si>
    <t>IEC60601-2-19</t>
  </si>
  <si>
    <t>Medical electrical equipment - Part 2-19: Particular requirements for the basic safety and essential performance of infant incubators</t>
  </si>
  <si>
    <t xml:space="preserve">Нярайн инкубаторын үндсэн үзүүлэлт болон аюулгүй ажиллагаанд тавигдах шаардлага </t>
  </si>
  <si>
    <t>IEC60601-2-20</t>
  </si>
  <si>
    <t>Medical electrical equipment - Part 2-20: Particular requirements for the basic safety and essential performance of infant transport incubators</t>
  </si>
  <si>
    <t xml:space="preserve">Зөөврийн нярайн инкубаторын үндсэн үзүүлэлт болон аюулгүй ажиллагаанд тавигдах шаардлага </t>
  </si>
  <si>
    <t>ISO80601-2-61</t>
  </si>
  <si>
    <t>Medical electrical equipment - Part 2-61:Particular requirements for basic safety and essential performance of pulse oximeter equipment</t>
  </si>
  <si>
    <t xml:space="preserve">Пульсоксиметрийн үндсэн үзүүлэлт болон аюулгүй ажиллагаанд тавигдах шаардлага </t>
  </si>
  <si>
    <t>IEC60601-2-7</t>
  </si>
  <si>
    <t>Medical electrical equipment - Part 2-7: Particular requirements for the safety of high-voltage generators of diagnostic X-ray generators</t>
  </si>
  <si>
    <t xml:space="preserve">Рентген оношлогооны  өндөр хүчдлийн генераторы үндсэн үзүүлэлт болон аюулгүй ажиллагаанд тавигдах шаардлага </t>
  </si>
  <si>
    <t xml:space="preserve"> IEC60601-2-28</t>
  </si>
  <si>
    <t>Medical electrical equipment - Part 2-28: Particular requirements for the basic safety and essential performance of X-ray tube assemblies for medical diagnosis</t>
  </si>
  <si>
    <t xml:space="preserve">Рентген хоолойн үндсэн үзүүлэлт болон аюулгүй ажиллагаанд тавигдах шаардлага </t>
  </si>
  <si>
    <t>IEC60601-2-32</t>
  </si>
  <si>
    <t>Medical electrical equipment - Part 2: Particular requirements for the safety of associated equipment of X-ray equipment</t>
  </si>
  <si>
    <t xml:space="preserve">Рентген аппаратны үндсэн үзүүлэлт болон аюулгүй ажиллагаанд тавигдах шаардлага </t>
  </si>
  <si>
    <t>ISO 80601-2-69</t>
  </si>
  <si>
    <t>Medical electrical equipment -- Part 2-69: Particular requirements for basic safety and essential performance of oxygen concentrator equipment</t>
  </si>
  <si>
    <t>Хүчилтөрөгч өтгөрүүлэгчийн үндсэн үзүүлэлт болон аюулгүй ажиллагаанд тавигдах шаардлага</t>
  </si>
  <si>
    <t>IEC60601-2-37</t>
  </si>
  <si>
    <t>Medical electrical equipment - Part 2-37: Particular requirements for the basic safety and essential performance of ultrasonic medical diagnostic and monitoring equipment</t>
  </si>
  <si>
    <t xml:space="preserve">Хэт авиан оношлогооны аппаратны үндсэн үзүүлэлт болон аюулгүй ажиллагаанд тавигдах шаардлага </t>
  </si>
  <si>
    <t>IEC 60601-2-50 ed2.0 (2009-03)</t>
  </si>
  <si>
    <t>Medical electrical equipment - Part 2-50: Particular requirements for the basic safety and essential performance of infant phototherapy equipment</t>
  </si>
  <si>
    <t xml:space="preserve">Нярайн фото эмчилгээний аппаратны үндсэн үзүүлэлт болон аюулгүй ажиллагаанд тавигдах шаардлага </t>
  </si>
  <si>
    <t>Эмнэлгийн тоног төхөөрөмжид шалгалт тохируулга хийхэд нэн шаардлагатай байгаа стандарыг орчуулах болон хянуулах</t>
  </si>
  <si>
    <t xml:space="preserve">Олон улсад харгалзах стандартын дугаар </t>
  </si>
  <si>
    <t>Хуудас</t>
  </si>
  <si>
    <t xml:space="preserve">Орчуулгын хөлс </t>
  </si>
  <si>
    <t>Хяналтын хөлс</t>
  </si>
  <si>
    <t>IEC 60601-2-2 ed5.0 (2014-06)</t>
  </si>
  <si>
    <t>Medical electrical equipment - Part 2-2: Particular requirements for the basic safety and essential performance of high frequency surgical equipment and high frequency surgical accessories</t>
  </si>
  <si>
    <t> Цахилгаан мэс заслын аппаратны үндсэн үзүүлэлт болон аюулгүй ажиллагаанд тавигдах шаардлага</t>
  </si>
  <si>
    <t>IEC 60601-2-4 ed3.0 (2010-12)</t>
  </si>
  <si>
    <t>Medical electrical equipment - Part 2-4: Particular requirements for the basic safety and essential performance of cardiac defibrillators</t>
  </si>
  <si>
    <t xml:space="preserve">Дефибриляторын  үндсэн үзүүлэлт болон аюулгүй ажиллагаанд тавигдах шаардлага </t>
  </si>
  <si>
    <t>IEC/TRF 60601-2-12 ed3.0 (2007-02)</t>
  </si>
  <si>
    <t>Medical electrical equipment - Part 2-12: Particular requirements for the safety of lung ventilators - Critical care ventilators</t>
  </si>
  <si>
    <t xml:space="preserve">Амьсгалын аппаратны үндсэн үзүүлэлт болон аюулгүй ажиллагаанд тавигдах шаардлага </t>
  </si>
  <si>
    <t>78+11</t>
  </si>
  <si>
    <t>IEC/TRF 60601-2-13 ed3.0 (2007-02)</t>
  </si>
  <si>
    <t>Medical electrical equipment - Part 2-13: Particular requirements for the safety and essential performance of anaesthetic systems</t>
  </si>
  <si>
    <t xml:space="preserve">Мэдээгүйжүүлгийн аппаратны үндсэн үзүүлэлт болон аюулгүй ажиллагаанд тавигдах шаардлага </t>
  </si>
  <si>
    <t>IEC 60601-2-21 ed2.0 (2009-02)</t>
  </si>
  <si>
    <t>Medical electrical equipment - Part 2-21: Particular requirements for the basic safety and essential performance of infant radiant warmers</t>
  </si>
  <si>
    <t xml:space="preserve">Нярайн дулаацуулах ширээний үндсэн үзүүлэлт болон аюулгүй ажиллагаанд тавигдах шаардлага </t>
  </si>
  <si>
    <t>IEC 60601-2-24 ed2.0 (2012-10)</t>
  </si>
  <si>
    <t>Medical electrical equipment - Part 2-24: Particular requirements for the basic safety and essential performance of infusion pumps and controllers</t>
  </si>
  <si>
    <t xml:space="preserve">Дуслын автомат шахуурга үндсэн үзүүлэлт болон аюулгүй ажиллагаанд тавигдах шаардлага </t>
  </si>
  <si>
    <t>IEC 60601-2-49 ed2.0 (2011-02)</t>
  </si>
  <si>
    <t>Medical electrical equipment - Part 2-49: Particular requirements for the basic safety and essential performance of multifunction patient monitoring equipment</t>
  </si>
  <si>
    <t xml:space="preserve">Олон үйлдэлт өвчтөний хяналтын мониторын үндсэн үзүүлэлт болон аюулгүй ажиллагаанд тавигдах шаардлага </t>
  </si>
  <si>
    <t xml:space="preserve">Эмнэлгийн тоног төхөөрөмжид шалгалт тохируулга хийх симулятор, анализаторыг эрх бүхий хэмжилзүйн байгууллагаар баталгаажуулалт хийлгэх
</t>
  </si>
  <si>
    <t>Дефибриляторын анализатор</t>
  </si>
  <si>
    <t>Коагуляцын анализатор</t>
  </si>
  <si>
    <t>Инкубаторын анализатор</t>
  </si>
  <si>
    <t>Өвчтөний мониторын симулятор</t>
  </si>
  <si>
    <t>Хийн урсгалын анализатор</t>
  </si>
  <si>
    <t>Цахилгааны аюулгүй байдлын анализатор</t>
  </si>
  <si>
    <t>Хүчилтөрөгчийн анализатор</t>
  </si>
  <si>
    <t>Дуслын автомат шахуургын анализатор</t>
  </si>
  <si>
    <t xml:space="preserve">Зөөврийн осциллограф </t>
  </si>
  <si>
    <t>Рентген төхөөрөмж шалгах аппарат</t>
  </si>
  <si>
    <t>Компьютер томографын фантом</t>
  </si>
  <si>
    <t>Оношилгооны иончлолын фантом</t>
  </si>
  <si>
    <t>Компьютер түүний дагалдах хэрэгслэл, сүлжээний төхөөрөмжүүд худалдан авах төсөв</t>
  </si>
  <si>
    <t>Тоног төхөөрмж, багаж хэрэгслийн нэр</t>
  </si>
  <si>
    <t>Үзүүлэлт</t>
  </si>
  <si>
    <t>Үнэ /төг/</t>
  </si>
  <si>
    <t>Нийт өртөг /төг/</t>
  </si>
  <si>
    <t xml:space="preserve">Switch </t>
  </si>
  <si>
    <t>24 port</t>
  </si>
  <si>
    <t>RJ45 төмөр толгойтой</t>
  </si>
  <si>
    <t>Сүлжээний утас</t>
  </si>
  <si>
    <t>cat 5 e зэс голтой UTP</t>
  </si>
  <si>
    <t>Сүлжээний утас дугаарлагч</t>
  </si>
  <si>
    <t>Өнгөөр ялгаж, тайлбар бичих боломжтой</t>
  </si>
  <si>
    <t>CD-н дээр бичдэг бал</t>
  </si>
  <si>
    <t>Арилдаггүй, нарийн үзүүртэй</t>
  </si>
  <si>
    <t xml:space="preserve">DVD rom цэвэрлэгч </t>
  </si>
  <si>
    <t>Цэвэрлэгч CD</t>
  </si>
  <si>
    <t>Тоос сорогч</t>
  </si>
  <si>
    <t>Цэнэглэдэг, зөөврийн</t>
  </si>
  <si>
    <t>Компьютерийн гар цэвэрлэгч</t>
  </si>
  <si>
    <t>Товчлуурууд хооронд цэвэрлэх</t>
  </si>
  <si>
    <t>USB flash</t>
  </si>
  <si>
    <t>8gb багтаамжтай</t>
  </si>
  <si>
    <t>Телефон утасны толгой</t>
  </si>
  <si>
    <t>4 шүдтэй</t>
  </si>
  <si>
    <t xml:space="preserve">DVD,CD  </t>
  </si>
  <si>
    <t>8GB, 4GB, 700MB багтаамжтай</t>
  </si>
  <si>
    <t>Соронзон цоож, утаа мэдрэгч</t>
  </si>
  <si>
    <t>кодтой</t>
  </si>
  <si>
    <t>Бүртгэлийн төлбөрөөс гарах зардал</t>
  </si>
  <si>
    <t>нийт үнэ</t>
  </si>
  <si>
    <t xml:space="preserve">үндэслэл </t>
  </si>
  <si>
    <t>тайлбар</t>
  </si>
  <si>
    <t>Ажлын хөлс</t>
  </si>
  <si>
    <t>Хүний эмийн зөвлөлийн гишүүдийн ажлын хөлс</t>
  </si>
  <si>
    <t>48 цаг х 17 гишүүн</t>
  </si>
  <si>
    <t>ЭМС-ын 2012 оны “Эм, биологийн идэвхит бүтээгдэхүүний бүртгэлийн журам батлах тухай” 13-р тушаалын 3-р хавсралт “Эмийн бүртгэлийн төлбөрийг тогтоох, зарцуулах журам”</t>
  </si>
  <si>
    <t xml:space="preserve">Тогтсон тарифаар бодогдсон болно. </t>
  </si>
  <si>
    <t>Хүний эмийн салбар зөвлөлийн гишүүдийн ажлын хөлс</t>
  </si>
  <si>
    <t>252 цаг х 32 гишүүн</t>
  </si>
  <si>
    <t>Фармакопейн хорооны гишүүдийн ажлын хөлс</t>
  </si>
  <si>
    <t>60 цаг х12 гишүүн</t>
  </si>
  <si>
    <t>Бүртгэлийн шинжээчдийн ажлын хөлс</t>
  </si>
  <si>
    <t>1100 дүгнэлт</t>
  </si>
  <si>
    <t>1500 дүгнэлт</t>
  </si>
  <si>
    <t>1500 хянах</t>
  </si>
  <si>
    <t>Хэвлэлтийн зардал</t>
  </si>
  <si>
    <t>Бүртгэлийн гэрчилгээ хэвлүүлэх</t>
  </si>
  <si>
    <t>"Эмийн мэдээлэл" сэтгүүл хэвлүүлэх</t>
  </si>
  <si>
    <t xml:space="preserve">1200 ширхэг </t>
  </si>
  <si>
    <t>ЭМСС-ын 2015 оны эрүүл мэндийн хөгжлийн төвийн дүрэм, бүтцийг шинэчлэн батлах тухай 79-р тушаал</t>
  </si>
  <si>
    <t xml:space="preserve">60 хуудастай 1200 ширхэг сэтгүүл хэвлүүлнэ. Хэвлэлийн компанийг тухайн үед шийдвэрлэнэ. </t>
  </si>
  <si>
    <t>“Монгол улсын эмийн бүртгэлийн жагсаалт” ном хэвлүүлэх</t>
  </si>
  <si>
    <t>1000 ширхэг</t>
  </si>
  <si>
    <t xml:space="preserve">Эмийн бүртгэлийн жагсаалтын номыг жил бүр эрхлэн гаргадаг ба тус онд 380 хуудастайгаар гаргаж, 300 ширхэг хэвлэнэ. </t>
  </si>
  <si>
    <t>"Биологийн идэвхт бүтээгдэхүүний бүртгэлийн жагсаалт" ном хэвлүүлэх</t>
  </si>
  <si>
    <t>Иргэдэд зориулсан эмийг гаж нөлөөний талаарх үнэн зөв бодит мэдээллийг хэвлэл мэдээллийн хэрэгслээр сурталчлах, таниулах, гарын авлага, боршураар хангах</t>
  </si>
  <si>
    <t>ЭМСС-ын 2015 оны “Эмийн гаж нөлөө болон аюулгүй байдлын мэдээллийг бүртгэн, мэдээлэх журам батлах тухай” 89-р тушаал</t>
  </si>
  <si>
    <t>Сургалт, судалгаа, хяналт-үнэлгээний зардал</t>
  </si>
  <si>
    <t>ХЭЗ-ийн шийдвэрийн дагуу болон шаардлагатай тохиолдолд зах зээлийн тандалт судалгаа хийх</t>
  </si>
  <si>
    <t>ЭМС-ын 2015 оны “Эм, биологийн идэвхит бүтээгдэхүүний бүртгэлийн журам батлах тухай” 13-р тушаалын 3-р хавсралт “Эмийн бүртгэлийн төлбөрийг тогтоох, зарцуулах журам”</t>
  </si>
  <si>
    <t>Тухай бүрд хэлэлцсэн асуудал, ХЭЗ-ийн гаргасан шийдвэрт үндэслэж хийнэ.</t>
  </si>
  <si>
    <t>Шинжээчдийн сургалт зохион байгуулах</t>
  </si>
  <si>
    <t xml:space="preserve">Дэлгэрэнгүй хавсралт хэсэгт оруулсан болно. </t>
  </si>
  <si>
    <t xml:space="preserve">Эрүүл мэндийн болон эм хангамжийн байгууллагуудад эмийн аюулгүй байдлын хяналт үнэлгээний ерөнхий ойлголт, түүний эрх зүйн баримт бичиг, эмийн гаж нөлөө, түүнээс хэрхэн сэргийлэх талаар сургалт зохион байгуулах </t>
  </si>
  <si>
    <t>Эрүүл мэндийн байгууллага - 2 удаа Эм хангамжийн байгууллага – 2 удаа Эмийн үйлдвэрийхэнд – 2 удаа Нийт 6 сургалт дэлгэрэнгүй задаргааг хавсралтаар хүргүүлэв.</t>
  </si>
  <si>
    <t>Эмийн бүртгэл, мэдээллийн шинэчилсэн Лайсмед программын хэрэглэгчдэд зориулсан сургалт</t>
  </si>
  <si>
    <t xml:space="preserve">Эмийн жорын маягт, жор бичилт MNS 5376:2014 стандартын хэрэгжилтийг хангах зорилгоор эмийн санд үнэлгээ хийх </t>
  </si>
  <si>
    <t xml:space="preserve">MNS 5376:2014 стандартын хүрээнд </t>
  </si>
  <si>
    <t xml:space="preserve">Хавсралт хэсэгт дэлгэрэнгүй оруулсан. </t>
  </si>
  <si>
    <t xml:space="preserve">Эх орны үйлдвэрийн зарим эмийн чанар, аюулгүй байдлын тандалт судалгааны ажил </t>
  </si>
  <si>
    <t xml:space="preserve">ЭМС-ын 2014 оны “эмийн зах зээлийн тандалт судалгаа хийх журам батлах тухай” 33-р тушаал </t>
  </si>
  <si>
    <t xml:space="preserve">Хавсралт хэсэгт дэлгэрэнгүй оруулсан болно. </t>
  </si>
  <si>
    <t>Гадаад, дотоод томилолт, сургалтанд оролцох</t>
  </si>
  <si>
    <t xml:space="preserve">эмийн бүртгэлийн  хариуцсан мэргэжилтнүүдийг чадавхижуулахгадаад дотоодын сургалтанд хамруулах </t>
  </si>
  <si>
    <t xml:space="preserve">Эмийн гаж нөлөө хариуцсан мэргэжилтнүүдийг чадавхижуулах, эмийн гаж нөлөөг үнэлэх, ангилах, чиглэлээр гадаад дотоодын сургалтанд хамруулах </t>
  </si>
  <si>
    <t>Үйлдвэртэй танилцах багийн гадаад томилолтын зардал</t>
  </si>
  <si>
    <t>Дэлгэрэнгүй хавсралт хэсэгт оруулсан болно.</t>
  </si>
  <si>
    <t>дэд дүн</t>
  </si>
  <si>
    <t>Ном, хэвлэл худалдан авах</t>
  </si>
  <si>
    <t>Эмийн мэдээний сан “Лайсмед” программыг ашиглах заавар, гарын авлагаар холбогдох мэргэжилтнийг хангах</t>
  </si>
  <si>
    <t>Эмийн зохицуулалтын албаны мэргэжилтнүүдийг ном товхимлоор хангах, ажлын байрыг тохижуулах</t>
  </si>
  <si>
    <t>Программ хангамж ашиглах, боловсронгуй болгох, зохиох</t>
  </si>
  <si>
    <t xml:space="preserve">ДЭМБ-ын Эмийн хяналтын хөтөлбөрийн төвтэй хийсэн гэрээний дагуу Vigiflow цахим мэдээний санг ашиглах </t>
  </si>
  <si>
    <t xml:space="preserve">1500$ </t>
  </si>
  <si>
    <t>3 дахь жил</t>
  </si>
  <si>
    <t>Эмийн гаж нөлөөг бүртгэн мэдээлэх цахим тогтолцоог бий болгох</t>
  </si>
  <si>
    <t>Мэдээллийн технологи, эмнэлгийн тоног төхөөрөмжийн албаны мэргэжилтнүүдийн хамрагдах сургалт</t>
  </si>
  <si>
    <t>ЭМС-ын 330-р тушаал, "Цахим эрүүл мэнд" стратегийн хүрээнд</t>
  </si>
  <si>
    <t>Вирусны эсрэг програм</t>
  </si>
  <si>
    <t>хэрэглэгч/төг</t>
  </si>
  <si>
    <t>H-info 3.0 програмын өргөтгөл, засвар үйлчилгээ</t>
  </si>
  <si>
    <t>сар/төг</t>
  </si>
  <si>
    <t>ЭМС-ын сайдын 450-р тушаалын хэрэгжилтийн хүрээнд</t>
  </si>
  <si>
    <t>Цахим шалгалтын програм, хүний нөөцийн програмын шинэчлэл</t>
  </si>
  <si>
    <t>ЭМСС-ын 98-р тушаалын хэрэгжилтийн хүрээнд</t>
  </si>
  <si>
    <t>Телемедицинээр зөвлөгөө өгөх бүртгэлийн програмын өргөтгөл, засвар үйлчилгээ</t>
  </si>
  <si>
    <t>Програм хангамж худалдан авах, өргөтгөх, шинэчлэхэд шаардлагатай төсөв</t>
  </si>
  <si>
    <t xml:space="preserve">Гамшиг, онцгой байдлын үеийн амилуулах суурь тусламжийн сургалт зохион байгуулах </t>
  </si>
  <si>
    <t>Принтерийн марк</t>
  </si>
  <si>
    <t>Хорны марк</t>
  </si>
  <si>
    <t>Нэгжийн  үнэ</t>
  </si>
  <si>
    <t>Жилийн хэрэгцээ</t>
  </si>
  <si>
    <t>hp 78A  CE 278A</t>
  </si>
  <si>
    <t>ML 2010</t>
  </si>
  <si>
    <t>ml 2010</t>
  </si>
  <si>
    <t>HP-1320</t>
  </si>
  <si>
    <t>hp 49A</t>
  </si>
  <si>
    <t>Hp 1200</t>
  </si>
  <si>
    <t>cosont 7115A/W</t>
  </si>
  <si>
    <t>hp P1102</t>
  </si>
  <si>
    <t>hp 85A</t>
  </si>
  <si>
    <t>LBP-3201</t>
  </si>
  <si>
    <t>EP 26</t>
  </si>
  <si>
    <t>hp P-1005</t>
  </si>
  <si>
    <t>35A</t>
  </si>
  <si>
    <t>hp 1606 dn</t>
  </si>
  <si>
    <t>1053L</t>
  </si>
  <si>
    <t>Hp - 1005</t>
  </si>
  <si>
    <t>15A C7115A</t>
  </si>
  <si>
    <t>Cartridge 303</t>
  </si>
  <si>
    <t>Hp 1010</t>
  </si>
  <si>
    <t>12A Q2612A</t>
  </si>
  <si>
    <t>85A  CE285A</t>
  </si>
  <si>
    <t>15A  C7115A</t>
  </si>
  <si>
    <t>78A  CE278A</t>
  </si>
  <si>
    <t>image class MF4122</t>
  </si>
  <si>
    <t>FX9  /12А/</t>
  </si>
  <si>
    <t>SCX-3200</t>
  </si>
  <si>
    <t>Canon image runner 2530</t>
  </si>
  <si>
    <t>NPG 51</t>
  </si>
  <si>
    <t>Ажлын байран дээрх сургалт</t>
  </si>
  <si>
    <t>Дотоод аудит, хяналт-шинжилгээ, үнэлгээ</t>
  </si>
  <si>
    <t>3 өдөр</t>
  </si>
  <si>
    <t>¯íýëãýý, òºëºâëºëò</t>
  </si>
  <si>
    <t>50.000₮</t>
  </si>
  <si>
    <t>1.250.000₮</t>
  </si>
  <si>
    <t>6.000.000₮</t>
  </si>
  <si>
    <t>Бүх ажилтан</t>
  </si>
  <si>
    <t>600.000₮</t>
  </si>
  <si>
    <t>Харуул хамгаалалтын тооцоо</t>
  </si>
  <si>
    <t>Нэг хүний зардал</t>
  </si>
  <si>
    <t>Сард гарах хүний тоо</t>
  </si>
  <si>
    <t>Н.Гантулга</t>
  </si>
  <si>
    <t>Х.Дэлгэрмаа</t>
  </si>
  <si>
    <t>Т.Болор-Эрдэнэ</t>
  </si>
  <si>
    <t>Ш.Солонго</t>
  </si>
  <si>
    <t>Б.Дуламсүрэн</t>
  </si>
  <si>
    <t>тоо 
хэмжээ</t>
  </si>
  <si>
    <t>1.    Архангай аймгийн нэгдсэн эмнэлэг</t>
  </si>
  <si>
    <t>2.    Баян-Өлгий аймгийн нэгдсэн эмнэлэг</t>
  </si>
  <si>
    <t xml:space="preserve">3.    Баянхонгор аймгийн нэгдсэн эмнэлэг </t>
  </si>
  <si>
    <t>4.    Булган аймгийн нэгдсэн эмнэлэг</t>
  </si>
  <si>
    <t>5.    Говьсүмбэр аймгийн нэгдсэн эмнэлэг</t>
  </si>
  <si>
    <t>6.    Говь-Алтай аймгийн нэгдсэн эмнэлэг</t>
  </si>
  <si>
    <t>7.    Дархан-Уул аймгийн нэгдсэн эмнэлэг</t>
  </si>
  <si>
    <t>8.    Дорнод аймгийн бүсийн оношилгоо, эмчилгээний төв</t>
  </si>
  <si>
    <t>9.    Дорноговь аймгийн нэгдсэн эмнэлэг</t>
  </si>
  <si>
    <t>10.  Дундговь аймгийн нэгдсэн эмнэлэг</t>
  </si>
  <si>
    <t>11.  Завхан аймгийн нэгдсэн эмнэлэг</t>
  </si>
  <si>
    <t>12.  Орхон аймгийн бүсийн оношилгоо, эмчилгээний төв</t>
  </si>
  <si>
    <t>13.  Өвөрхангай аймгийн бүсийн оношилгоо, эмчилгээний төв</t>
  </si>
  <si>
    <t>14.  Өмнөговь аймгийн бүсийн оношилгоо, эмчилгээний төв</t>
  </si>
  <si>
    <t>15.  Сэлэнгэ аймгийн нэгдсэн эмнэлэг</t>
  </si>
  <si>
    <t>16.  Сүхбаатар аймгийн нэгдсэн эмнэлэг</t>
  </si>
  <si>
    <t>17.  Төв аймгийн нэгдсэн эмнэлэг</t>
  </si>
  <si>
    <t>18.  Увс аймгийн нэгдсэн эмнэлэг</t>
  </si>
  <si>
    <t>19.  Ховд аймгийн бүсийн оношилгоо, эмчилгээний төв</t>
  </si>
  <si>
    <t>20.  Хөвсгөл аймгийн нэгдсэн эмнэлэг</t>
  </si>
  <si>
    <t>21.  Хэнтий аймгийн нэгдсэн эмнэлэг</t>
  </si>
  <si>
    <r>
      <t>А</t>
    </r>
    <r>
      <rPr>
        <sz val="8"/>
        <rFont val="Arial"/>
        <family val="2"/>
      </rPr>
      <t>æлын байрны стресс</t>
    </r>
  </si>
  <si>
    <r>
      <t>Гамшгийн</t>
    </r>
    <r>
      <rPr>
        <sz val="8"/>
        <rFont val="Arial"/>
        <family val="2"/>
      </rPr>
      <t xml:space="preserve"> үеийн болон ажлын байрны аюулгүй ажиллагаа</t>
    </r>
  </si>
  <si>
    <r>
      <t>Хууль</t>
    </r>
    <r>
      <rPr>
        <sz val="8"/>
        <rFont val="Arial"/>
        <family val="2"/>
      </rPr>
      <t xml:space="preserve"> эрх зүй ёс зүй, харилцаа, хандлага</t>
    </r>
  </si>
  <si>
    <r>
      <t>Дэд</t>
    </r>
    <r>
      <rPr>
        <sz val="8"/>
        <rFont val="Arial"/>
        <family val="2"/>
      </rPr>
      <t xml:space="preserve"> дүн</t>
    </r>
  </si>
  <si>
    <t>Ерөнхий захирал</t>
  </si>
  <si>
    <t>Д.Гантуяа</t>
  </si>
  <si>
    <t>Д.Баттулга</t>
  </si>
  <si>
    <t>Эд хогшил худалдан авах</t>
  </si>
  <si>
    <t>Архивын чиглэлээр эд хогшил худалдан авах</t>
  </si>
  <si>
    <t xml:space="preserve">Эмнэлгийн тоног төхөөрөмжийн инженер, техникийн техникийн ажилчдад зориулсан сургалтын өрөө байгуулахад шаардлагатай багаж худалдан авах
</t>
  </si>
  <si>
    <t>Принтер болон хувилагчийн хор</t>
  </si>
  <si>
    <t>Автогражийн хаалгийг засварлах</t>
  </si>
  <si>
    <t>Нярав</t>
  </si>
  <si>
    <t>Б.Мөнгөнзул</t>
  </si>
  <si>
    <t>Архивч-номын санч</t>
  </si>
  <si>
    <t>П.Тунгалаг</t>
  </si>
  <si>
    <t>С.Лхагвадорж</t>
  </si>
  <si>
    <t>Ш.Алтанцэцэг</t>
  </si>
  <si>
    <t>Ү.Оюу</t>
  </si>
  <si>
    <t>Зураглаач</t>
  </si>
  <si>
    <t>Ц.Болортуяа</t>
  </si>
  <si>
    <t>Б.Сансармаа</t>
  </si>
  <si>
    <t>Ц.Уянга</t>
  </si>
  <si>
    <t>Албаны дарга</t>
  </si>
  <si>
    <t>П.Мидриймаа</t>
  </si>
  <si>
    <t>Ц.Одончимэг</t>
  </si>
  <si>
    <t>М.Баттуяа</t>
  </si>
  <si>
    <r>
      <t>Үндсэн цалин</t>
    </r>
    <r>
      <rPr>
        <sz val="9"/>
        <color rgb="FFFF0000"/>
        <rFont val="Arial"/>
        <family val="2"/>
      </rPr>
      <t xml:space="preserve"> /задаргаа хавсралтаар/</t>
    </r>
  </si>
  <si>
    <r>
      <t>Гэрээт ажлын цалин</t>
    </r>
    <r>
      <rPr>
        <sz val="9"/>
        <color rgb="FFFF0000"/>
        <rFont val="Arial"/>
        <family val="2"/>
      </rPr>
      <t xml:space="preserve"> /задаргаа хавсралтаар/</t>
    </r>
  </si>
  <si>
    <r>
      <t xml:space="preserve">Аудит, баталгаажуулалт зэрэглэл тогтоох үйлчилгээний хөлс (гадаад)-аудитын зардал </t>
    </r>
    <r>
      <rPr>
        <sz val="9"/>
        <color rgb="FFFF0000"/>
        <rFont val="Arial"/>
        <family val="2"/>
      </rPr>
      <t xml:space="preserve"> /гэрээ, тариф/</t>
    </r>
  </si>
  <si>
    <t>2018 оны эмийн бүртгэлийн орлогын төсөөлөл</t>
  </si>
  <si>
    <t>Бүтээгдэхүүний
 төрөл</t>
  </si>
  <si>
    <t>Төрөл</t>
  </si>
  <si>
    <t>Шинэ 
бүртгэл</t>
  </si>
  <si>
    <t>Сунгалт</t>
  </si>
  <si>
    <t>Өөрчлөлт</t>
  </si>
  <si>
    <t>Шинэ 
бүртгэл тоо</t>
  </si>
  <si>
    <t>Шинэ 
бүртгэлийн
 тариф</t>
  </si>
  <si>
    <t>Сунгалтын 
тоо</t>
  </si>
  <si>
    <t>Сунгалтын
 тариф</t>
  </si>
  <si>
    <t>Өөрчлөлт
 тоо</t>
  </si>
  <si>
    <t>Өөрчлөлтийн
 тариф</t>
  </si>
  <si>
    <t>Эм</t>
  </si>
  <si>
    <t>Эмийн үндэсний үйлдвэр</t>
  </si>
  <si>
    <t>Импортын уламжлалт эм</t>
  </si>
  <si>
    <t>Импортын эм</t>
  </si>
  <si>
    <t>Уламжлалтын үндэсний 
үйлдвэр</t>
  </si>
  <si>
    <t>Түүхий эд</t>
  </si>
  <si>
    <t>Оношлуур</t>
  </si>
  <si>
    <t>БИБ</t>
  </si>
  <si>
    <t>Эх орны БИБ</t>
  </si>
  <si>
    <t>Импортын БИБ</t>
  </si>
  <si>
    <t>101-ээс дээш ортой</t>
  </si>
  <si>
    <t>51-100 хүртэл ортой</t>
  </si>
  <si>
    <t>Сувилал 50 хүртэл ортой</t>
  </si>
  <si>
    <t>51-ээс дээш ортой</t>
  </si>
  <si>
    <t>11-50 хүртэл ортой</t>
  </si>
  <si>
    <t>Клиник /10 хүртэл ортой/оргүй эмнэлэг</t>
  </si>
  <si>
    <t>Өрхийн эрүүл мэндийн төв</t>
  </si>
  <si>
    <t>Сум, тосгоны эрүүл мэндийн төв</t>
  </si>
  <si>
    <t>Сум дундын эмнэлэг</t>
  </si>
  <si>
    <t>Нэгдсэн эмнэлэг</t>
  </si>
  <si>
    <t>Төв эмнэлэг, тусгай мэргэжлийн төв, бүсийн оношлогоо, эмчилгээний төв</t>
  </si>
  <si>
    <t>Орон нутаг</t>
  </si>
  <si>
    <t>Нийслэл</t>
  </si>
  <si>
    <t>Төлөвлөсөн орлого</t>
  </si>
  <si>
    <t>2018 онд магадлан итгэмжлэл сунгах санал ирүүлсэн байгууллагын тоо</t>
  </si>
  <si>
    <t>МИ-н үйлчилгээний төлбөрийн хэмжээ</t>
  </si>
  <si>
    <t>Эрүүл мэндийн байгууллагын төрөл</t>
  </si>
  <si>
    <t>Магадлан итгэмжлэх үйл ажиллагааны орлогын тооцоо</t>
  </si>
  <si>
    <t>Мэргэжлийн үйл ажиллагаа эрхлэх зөвшөөрлийн шалгалтын орлого</t>
  </si>
  <si>
    <t>ЭМХТ-ийн үйл ажиллагааны орлого тооцоолол</t>
  </si>
  <si>
    <t>ЭРҮҮЛ МЭНДИЙН АЖИЛТНЫ ХӨГЖЛИЙН АЛБА</t>
  </si>
  <si>
    <t>Суралцагчдын тоо</t>
  </si>
  <si>
    <t>Сургалтын хугацаа</t>
  </si>
  <si>
    <t>Төсөвлөсөн зардал</t>
  </si>
  <si>
    <t>Үндсэн мэргэшлийн сургалтын төлбөр:</t>
  </si>
  <si>
    <t>2015 оны үндсэн мэргэшлийн сургалтын төлбөр</t>
  </si>
  <si>
    <t>2016 оны үндсэн мэргэшлийн сургалтын төлбөр</t>
  </si>
  <si>
    <t>2017 оны үндсэн мэргэшлийн сургалтын төлбөр</t>
  </si>
  <si>
    <t>44 багц цаг</t>
  </si>
  <si>
    <t>11 сар</t>
  </si>
  <si>
    <t>2018 оны үндсэн мэргэшлийн сургалтын төлбөр</t>
  </si>
  <si>
    <t xml:space="preserve">12 багц цаг </t>
  </si>
  <si>
    <t>нийт дүн</t>
  </si>
  <si>
    <t>Нийт сургалтын тэтгэлэг</t>
  </si>
  <si>
    <t>5  </t>
  </si>
  <si>
    <t xml:space="preserve">2015 оны үндсэн мэргэшлийн сургалтын тэтгэлэг </t>
  </si>
  <si>
    <t>6 </t>
  </si>
  <si>
    <t>2016 оны үндсэн мэргэшлийн сургалтын тэтгэлэг</t>
  </si>
  <si>
    <t>7  </t>
  </si>
  <si>
    <t>2017 оны үндсэн мэргэшлийн сургалтын тэтгэлэг</t>
  </si>
  <si>
    <t xml:space="preserve">44 багц цаг </t>
  </si>
  <si>
    <t>НИЙТ ҮНДСЭН МЭРГЭЖЛИЙН ЗАРДАЛ</t>
  </si>
  <si>
    <t>Төрөлжсөн мэргэшлийн сургалт: Эмч, эмнэлгийн дээд мэргэжилтэн</t>
  </si>
  <si>
    <t>2017-2018 оны хичээлийн жилийн элсэлтийн төрөлжсөн мэргэшлийн сургалтын зардал /үргэлжлэл/</t>
  </si>
  <si>
    <t>36 багц цаг</t>
  </si>
  <si>
    <t>9 сар</t>
  </si>
  <si>
    <t>2018-2019 оны хичээлийн жилийн элсэлтийн  төрөлжсөн мэргэшлийн сургалтын зардал</t>
  </si>
  <si>
    <t>НИЙТ ТӨРӨЛЖСӨН МЭРГЭЖЛИЙН ЗАРДАЛ</t>
  </si>
  <si>
    <t>Мэргэжил дээшлүүлэх сургалт: Эмч, эмнэлгийн дээд мэргэжилтэн</t>
  </si>
  <si>
    <t>2017-2018 оны хичээлийн жилийн элсэлтийн мэргэжил дээшлүүлэх сургалтын төлбөр /үргэлжлэл/</t>
  </si>
  <si>
    <t>8 багц</t>
  </si>
  <si>
    <t>4 багц</t>
  </si>
  <si>
    <t>2017-2018 оны  хичээлийн жилийн элсэлтийн мэргэжил дээшлүүлэх сургалтын тэтгэлэг/үргэлжлэл/</t>
  </si>
  <si>
    <t>2018-2019 оны хичээлийн жилийн элсэлтийн мэргэжил дээшлүүлэх сургалтын зардал</t>
  </si>
  <si>
    <t>Сувилагч, эмнэлгийн бусад мэргэжилтэн</t>
  </si>
  <si>
    <t>Сувилагч, тусгай мэргэжилтний төрөлжсөн мэргэшүүлэх сургалт /4 сар/</t>
  </si>
  <si>
    <t>4 сар</t>
  </si>
  <si>
    <t>Сувилагч, тусгай мэргэжилтний төрөлжсөн мэргэшүүлэх сургалт /3 сар/</t>
  </si>
  <si>
    <t>Сувилагч, тусгай мэргэжилтний төрөлжсөн мэргэшүүлэх сургалтын тэтгэлэг  /1сар/</t>
  </si>
  <si>
    <t>Сувилагч тусгай мэргэжилтний мэргэжил дээшлүүлэх сургалтын зардал</t>
  </si>
  <si>
    <t>НИЙТ СУВИЛАХУЙН ТӨРӨЛЖСӨН ЗАРДАЛ</t>
  </si>
  <si>
    <t>Багц цагийн сургалт</t>
  </si>
  <si>
    <t>"Сурган заах арга зүй" сургагч багшийн сургалт</t>
  </si>
  <si>
    <t>AALS- сургалт</t>
  </si>
  <si>
    <t>PBLS- сургалт</t>
  </si>
  <si>
    <t>Эрүүл мэндийн ажилтны ёс зүй харьцаа хандлагын сургалт</t>
  </si>
  <si>
    <t>Гэмтэгсдийг аврах лавшруулсан тусламж</t>
  </si>
  <si>
    <t>Эрүүл мэндийн ажилтныг чадавхижуулах сургалт</t>
  </si>
  <si>
    <t>Эх, нярайн яаралтай тусламжийн сургалт</t>
  </si>
  <si>
    <t>БЗДХ, Тэмбүү өвчний сургалт</t>
  </si>
  <si>
    <t>Сум, Өрхийн эмч, мэргэжилтнийг чадавхижуулах сургалт</t>
  </si>
  <si>
    <t>Эмийн зохистой хэрэглээг төлөвшүүлэх</t>
  </si>
  <si>
    <t xml:space="preserve">Эх баригч нарыг чадавхижуулах сургалт </t>
  </si>
  <si>
    <t>НИЙТ БАГЦ ЦАГИЙН СУРГАЛТЫН ЗАРДАЛ</t>
  </si>
  <si>
    <t xml:space="preserve">Телемедицин сургалт </t>
  </si>
  <si>
    <t xml:space="preserve">Гадаад сургалт </t>
  </si>
  <si>
    <t xml:space="preserve">Зориулалт </t>
  </si>
  <si>
    <t xml:space="preserve">Улсын тоо </t>
  </si>
  <si>
    <t>Хамрагдах хүний тоо</t>
  </si>
  <si>
    <t>2018 оны төсвийн төсөлд өгөх санал</t>
  </si>
  <si>
    <t xml:space="preserve">    </t>
  </si>
  <si>
    <t>2018 онд  улсын төсвийн санхүүжилтээр  суралцуулах төгсөлтийн 
дараах үндсэн мэргэшлийн сургалтын төсвийн тооцоо</t>
  </si>
  <si>
    <t>2017 он суралцагчдын тоо</t>
  </si>
  <si>
    <t>Төсөвлөсөн зардал (Төг)</t>
  </si>
  <si>
    <r>
      <t>2017-2018 оны  хичээлийн жилийн элсэлтийн төрөлжсөн мэргэшлийн сургалтын</t>
    </r>
    <r>
      <rPr>
        <b/>
        <sz val="10"/>
        <rFont val="Arial"/>
        <family val="2"/>
      </rPr>
      <t xml:space="preserve"> тэтгэлэг/үргэлжлэл/</t>
    </r>
  </si>
  <si>
    <t>Үндсэн мэргэшлйин сургалтын хөлөлбөрийн үнэлгээ</t>
  </si>
  <si>
    <t>2017 он суралцагчдын тоо, төсөв</t>
  </si>
  <si>
    <t>Нэмэгдэл</t>
  </si>
  <si>
    <t>Нэг ажилтны жилд хэрэглэх бичиг хэргийн зардал</t>
  </si>
  <si>
    <r>
      <t xml:space="preserve">                   Эм </t>
    </r>
    <r>
      <rPr>
        <sz val="9"/>
        <rFont val="Arial"/>
        <family val="2"/>
      </rPr>
      <t>(2018 онд тендерээр худалдаж авсан эмийн зардлыг эм, эмнэлгийн хэрэгсэл, урвалж бодис, оношлуурын мөнгөн дүнгээр салгасан тооцоог хавсаргах)</t>
    </r>
  </si>
  <si>
    <t>Маягт хэвлэх зардал /Эмнэлгийн мэргэжилтний мэргэжлийн үйл ажиллагаа эрхлэх завшөөрөл, Эмийн улсын бүртгэлийн гэрчилгээ, Магадлан итгэмжлэлийн батламж, Тоног төхөөрөмжийн баталгаажуулалтын гэрчилгээ</t>
  </si>
  <si>
    <t>Бичиг хэрэг</t>
  </si>
  <si>
    <t>АЛБАН ТОМИЛОЛТЫН ЗАРДЛЫН ТООЦОО</t>
  </si>
  <si>
    <t>Явах чиглэл:</t>
  </si>
  <si>
    <t>ОРОН НУТАГТ МАГАДЛАН ҮНЭЛГЭЭ ХИЙХ</t>
  </si>
  <si>
    <t>Зам хоног, байрны зардал</t>
  </si>
  <si>
    <t>Д/д</t>
  </si>
  <si>
    <t>Тооцох зам хоног, байрны зардал</t>
  </si>
  <si>
    <t>Хүний тоо</t>
  </si>
  <si>
    <t>Албан томилолтын хугацаа</t>
  </si>
  <si>
    <t>Нийт зам хоног, байрны зардал</t>
  </si>
  <si>
    <t>Зам хоног /аймгийн төвд/</t>
  </si>
  <si>
    <t>Байрны зардал /аймгийн төвд/</t>
  </si>
  <si>
    <t>Зам хоног /суманд/</t>
  </si>
  <si>
    <t>Байрны зардал /суманд/</t>
  </si>
  <si>
    <t>ДҮН</t>
  </si>
  <si>
    <t>Замын зардал</t>
  </si>
  <si>
    <t>Тээврийн хэрэгсэл</t>
  </si>
  <si>
    <t>100 км-т зарцуулах норм</t>
  </si>
  <si>
    <r>
      <t xml:space="preserve">Явах км </t>
    </r>
    <r>
      <rPr>
        <b/>
        <sz val="10"/>
        <color theme="1"/>
        <rFont val="Arial Mon"/>
        <family val="2"/>
      </rPr>
      <t>/2 талдаа/</t>
    </r>
  </si>
  <si>
    <t>1 литр шатахууны үнэ</t>
  </si>
  <si>
    <t>Нийт замын зардал</t>
  </si>
  <si>
    <t>Онгоц /2 талдаа/ 9 хүн, 3 аймаг</t>
  </si>
  <si>
    <t>Автобус /2 талдаа/ 65,670</t>
  </si>
  <si>
    <t>Автомашин: 79 сумдад</t>
  </si>
  <si>
    <t>НИЙТ ТОМИЛОЛТЫН ЗАРДАЛ</t>
  </si>
  <si>
    <t>Гүйцэтгэл</t>
  </si>
  <si>
    <t>Эрүүл мэндийн хөгжлийн төвийн 2019 оны төсвийн төлөвлөгөөний төсөл, 2020-2021 оны төсөөлөл</t>
  </si>
  <si>
    <t>Аймгийн төвд-16, Сумдад-86 нийт 102 ЭМБайгууллагад магадлан үнэлгээ хийх</t>
  </si>
  <si>
    <r>
      <t xml:space="preserve">Тайлбар: 1 эрүүл мэндийн байгууллагад 3 шинжээч ажилладаг, үнэлгээ хийх хугацаа 1 байгууллагад 1 хоног тус тус ажиллана. Шинжээч нарын нийт ажиллах хоног 102 хоног, Шинжээчийн ажлын хөлсөнд багийн ахлагчид 1 эрүүл мэндийн байгууллагад 55.000 төгрөг, 1 гишүүнд 45.000 төгрөг, 2 гишүүнд 90.000 төгрөг олгоно. Нэг багт 145.000 төгрөгийн ажлын хөлс олгоно. Нийт 102 орон нутгийн ЭМБайгууллагад ажиллах 306 шинжээчийн ажлын хөлсөнд нийт </t>
    </r>
    <r>
      <rPr>
        <b/>
        <sz val="11"/>
        <color theme="1"/>
        <rFont val="Arial Mon"/>
        <family val="2"/>
      </rPr>
      <t>14.790.000</t>
    </r>
    <r>
      <rPr>
        <sz val="11"/>
        <color theme="1"/>
        <rFont val="Arial Mon"/>
        <family val="2"/>
      </rPr>
      <t xml:space="preserve"> төгрөг олгоно. Нийслэлд нийт 58 ЭМБайгууллагад ажиллах 174 шинжээчийн ажлын хөлсөнд </t>
    </r>
    <r>
      <rPr>
        <b/>
        <sz val="11"/>
        <color theme="1"/>
        <rFont val="Arial Mon"/>
        <family val="2"/>
      </rPr>
      <t>8.410.000</t>
    </r>
    <r>
      <rPr>
        <sz val="11"/>
        <color theme="1"/>
        <rFont val="Arial Mon"/>
        <family val="2"/>
      </rPr>
      <t xml:space="preserve"> төгрөг олгоно. МИ-ийн хурал 1 сард 1 удаа, жилд 12 удаа хуралдана. 1 хурал 11 гишүүнтэй, дунджаар 3 цаг хуралдана. Зөвлөлийн гишүүдийн ажлын хөлсөнд 1 хурлаар 330.000 төгрөг, 12*330.000=</t>
    </r>
    <r>
      <rPr>
        <b/>
        <sz val="11"/>
        <color theme="1"/>
        <rFont val="Arial Mon"/>
        <family val="2"/>
      </rPr>
      <t>3.960.000</t>
    </r>
    <r>
      <rPr>
        <sz val="11"/>
        <color theme="1"/>
        <rFont val="Arial Mon"/>
        <family val="2"/>
      </rPr>
      <t xml:space="preserve"> төгрөг. Зөвлөлийн хурлын зардал 1 удаагийн 50.000 төгрөг, 12 удаагийн хуралд </t>
    </r>
    <r>
      <rPr>
        <b/>
        <sz val="11"/>
        <color theme="1"/>
        <rFont val="Arial Mon"/>
        <family val="2"/>
      </rPr>
      <t>600.000</t>
    </r>
    <r>
      <rPr>
        <sz val="11"/>
        <color theme="1"/>
        <rFont val="Arial Mon"/>
        <family val="2"/>
      </rPr>
      <t xml:space="preserve"> төгрөг, 12 удаагийн хуралд нийт </t>
    </r>
    <r>
      <rPr>
        <b/>
        <sz val="11"/>
        <color theme="1"/>
        <rFont val="Arial Mon"/>
        <family val="2"/>
      </rPr>
      <t>4.560.000</t>
    </r>
    <r>
      <rPr>
        <sz val="11"/>
        <color theme="1"/>
        <rFont val="Arial Mon"/>
        <family val="2"/>
      </rPr>
      <t xml:space="preserve"> төгрөг олгоно.  Магадлан итгэмжлэлтэй холбоотой зардалд нийт </t>
    </r>
    <r>
      <rPr>
        <b/>
        <sz val="11"/>
        <color theme="1"/>
        <rFont val="Arial Mon"/>
        <family val="2"/>
      </rPr>
      <t>857.118.736</t>
    </r>
    <r>
      <rPr>
        <sz val="11"/>
        <color theme="1"/>
        <rFont val="Arial Mon"/>
        <family val="2"/>
      </rPr>
      <t xml:space="preserve"> төгрөг зарцуулна.</t>
    </r>
  </si>
  <si>
    <t>Шатлал</t>
  </si>
  <si>
    <t>ЕРӨНХИЙ ЗАХИРАЛ</t>
  </si>
  <si>
    <t>АХЛАХ НЯГТЛАН БОДОГЧ</t>
  </si>
  <si>
    <t>Д.ГАНЦЭЦЭГ</t>
  </si>
  <si>
    <t>Б.ОЧИР</t>
  </si>
  <si>
    <t>3-5</t>
  </si>
  <si>
    <t>1-5</t>
  </si>
  <si>
    <t>5</t>
  </si>
  <si>
    <t xml:space="preserve">     </t>
  </si>
  <si>
    <t xml:space="preserve">                                          Ýð¿¿ë ìýíäèéí õºãæëèéí òºâèéí албан хаагчдын цалин, нэмэгдэл</t>
  </si>
  <si>
    <t>Íýðñ</t>
  </si>
  <si>
    <t xml:space="preserve">Албан тушаалын ангилал, зэрэглэл      </t>
  </si>
  <si>
    <t xml:space="preserve"> Албан тушаалын цалин</t>
  </si>
  <si>
    <t>Íýìýãäëèéí ä¿í</t>
  </si>
  <si>
    <t>Нийт олговол зохих цалин</t>
  </si>
  <si>
    <t>Óð ÷àäâàðûí íýìýãäýë</t>
  </si>
  <si>
    <t>Нэмэгдэл хөлс</t>
  </si>
  <si>
    <t>Унаа</t>
  </si>
  <si>
    <t>Ìýðãýæëèéí çýðãèéí íýìýãäýë</t>
  </si>
  <si>
    <t>Äîêòîðûí çýðãèéí íýìýãäýë</t>
  </si>
  <si>
    <t>Үр дүнгийн урамшуулал</t>
  </si>
  <si>
    <t>Д.Ганцэцэг</t>
  </si>
  <si>
    <t>ТҮЭМ-9-3</t>
  </si>
  <si>
    <t>Хөгжлийн төлөвлөлт, хамтын ажиллагааны алба</t>
  </si>
  <si>
    <t>Р.Жаргалмаа</t>
  </si>
  <si>
    <t>Л.Бор</t>
  </si>
  <si>
    <t>Ò¯-7-3</t>
  </si>
  <si>
    <t>Б.Батдэлгэр</t>
  </si>
  <si>
    <t>С.Мөнхдэлгэр</t>
  </si>
  <si>
    <t>Т.Өнөрцэцэг</t>
  </si>
  <si>
    <t>Ахлах мýðãýæèëòýí</t>
  </si>
  <si>
    <t>Ò¯-8-5</t>
  </si>
  <si>
    <t>Э.Энхцэцэг</t>
  </si>
  <si>
    <t>Эрүүл мэндийн мэдээллийн алба</t>
  </si>
  <si>
    <t>Ñ.Äàâààæàðãàë</t>
  </si>
  <si>
    <t xml:space="preserve"> Мýðãýæèëòýí</t>
  </si>
  <si>
    <t>Õ.Íàðàíòóÿà</t>
  </si>
  <si>
    <t>Б.Отгончимэг</t>
  </si>
  <si>
    <t>Äî.Óðàí÷èìýã</t>
  </si>
  <si>
    <t>Оïåðàòîð</t>
  </si>
  <si>
    <t>Ò¯-2-5</t>
  </si>
  <si>
    <t>Æ.Ýðäýíý-О÷èð</t>
  </si>
  <si>
    <t>И.Ариунаа</t>
  </si>
  <si>
    <t>Б.Зоригтбаатар</t>
  </si>
  <si>
    <t>Эм, эмнэлгийн тоног төхөөрөмжийн алба</t>
  </si>
  <si>
    <t>Ш.Ариунзаяа</t>
  </si>
  <si>
    <t>Ахлах мэргэжилтэн</t>
  </si>
  <si>
    <t>Ж.Халиунаа</t>
  </si>
  <si>
    <t>Хүний нөөцийн бодлого зохицуулалтын алба</t>
  </si>
  <si>
    <t>Б.Амарсайхан</t>
  </si>
  <si>
    <t>Б.Мөнхцэцэг</t>
  </si>
  <si>
    <t>Д.Баярхүү</t>
  </si>
  <si>
    <t>Б.Нинжбадгар</t>
  </si>
  <si>
    <t>Г.Цолмонбаяр</t>
  </si>
  <si>
    <t>Б.Энхзаяа</t>
  </si>
  <si>
    <t>Х.Уянга</t>
  </si>
  <si>
    <t>Б.Энхжаргал</t>
  </si>
  <si>
    <t>Магадлан итгэмжлэл, лицензийн алба</t>
  </si>
  <si>
    <t>Т.Одгэрэл</t>
  </si>
  <si>
    <t>Д.Бямбасүрэн</t>
  </si>
  <si>
    <t>Ц.Тунгалагтамир</t>
  </si>
  <si>
    <t>М.Номингэрэл</t>
  </si>
  <si>
    <t>Эс, эд, эрхтнийг шилжүүлэн суулгах үйл ажиллагааг зохицуулах алба</t>
  </si>
  <si>
    <t>П.Батчулуун</t>
  </si>
  <si>
    <t>Зохицуулагч</t>
  </si>
  <si>
    <t>Н.Дашдондов</t>
  </si>
  <si>
    <t>Çàõèðãàà, санхүү, дотоод хяналтын  алба</t>
  </si>
  <si>
    <t>Т.Содгэрэл</t>
  </si>
  <si>
    <t>Б.Очир</t>
  </si>
  <si>
    <t>Ахлах нягтлан бодогч</t>
  </si>
  <si>
    <t>Х.Хонгорзул</t>
  </si>
  <si>
    <t>Б.Баярцэнгэл</t>
  </si>
  <si>
    <t>Нягтлан бодогч</t>
  </si>
  <si>
    <t>Бичиг хэргийн ажилтан</t>
  </si>
  <si>
    <t>ÍÈÉÒ Ä¯Í</t>
  </si>
  <si>
    <t xml:space="preserve">   Ýð¿¿ë ìýíäèéí õºãæëèéí òºâèéí гэрээт àæèëëàãñäûí цалин,нэмэгдэл</t>
  </si>
  <si>
    <t>Бохирын íýìýãäýë</t>
  </si>
  <si>
    <t>Ä.Àëòàíöýöýã</t>
  </si>
  <si>
    <t>Захиргаа, санхүү, дотоод хяналтын алба</t>
  </si>
  <si>
    <t>Ø.Áÿìáàáààòàð</t>
  </si>
  <si>
    <t>Æîëîî÷</t>
  </si>
  <si>
    <t>О.Содномпил</t>
  </si>
  <si>
    <t>Дотуур байрны зохион байгуулагч</t>
  </si>
  <si>
    <t>ТҮ-3-5</t>
  </si>
  <si>
    <t>Ä.Ýíõòºð</t>
  </si>
  <si>
    <t>Сантехникийн сëåñàðü</t>
  </si>
  <si>
    <t>2019 онд магадлан итгэмжлэлийн үнэлгээнд орох орон нутгийн эрүүл мэндийн байгууллагын шатахууны төсвийн тооцооны төсөөлөл.</t>
  </si>
  <si>
    <t>Эрүүл мэндийн байгууллагын нэр</t>
  </si>
  <si>
    <t>Аймаг</t>
  </si>
  <si>
    <t>Магадлан итгэмжлэл</t>
  </si>
  <si>
    <t>Нийт км</t>
  </si>
  <si>
    <t>эхлэх хугацаа</t>
  </si>
  <si>
    <t>дуусах хугацаа</t>
  </si>
  <si>
    <t>Цэцэрлэг СЭМТ</t>
  </si>
  <si>
    <t>Архангай аймаг</t>
  </si>
  <si>
    <t>Төвшрүүлэх СЭМТ</t>
  </si>
  <si>
    <t>Булган СЭМТ</t>
  </si>
  <si>
    <t>“Ар-Энхжин” ӨЭМТ</t>
  </si>
  <si>
    <t>“Ар-Мөнгөнчагнуур” ӨЭМТ</t>
  </si>
  <si>
    <t>“Ар-Мөнхжин” ӨЭМТ</t>
  </si>
  <si>
    <t>“Ар-Рашаант” ӨЭМТ</t>
  </si>
  <si>
    <t>Цэнгэл сум дундын эмнэлэг</t>
  </si>
  <si>
    <t>Баян-Өлгий аймаг</t>
  </si>
  <si>
    <t>Өлзийт СЭМТ</t>
  </si>
  <si>
    <t>Баянхонгор аймаг</t>
  </si>
  <si>
    <t>Баацагаан СЭМТ</t>
  </si>
  <si>
    <t>Жинст СЭМТ</t>
  </si>
  <si>
    <t>Баянбулаг СЭМТ</t>
  </si>
  <si>
    <t>Бүрэгхангай СЭМТ</t>
  </si>
  <si>
    <t>Булган аймаг</t>
  </si>
  <si>
    <t>Хангал СЭМТ</t>
  </si>
  <si>
    <t>Тэшиг СЭМТ</t>
  </si>
  <si>
    <t>Рашаант СЭМТ</t>
  </si>
  <si>
    <t>Бигэр Сум дундын эмнэлэг</t>
  </si>
  <si>
    <t>Говь-Алтай аймаг</t>
  </si>
  <si>
    <t>Алтай СЭМТ</t>
  </si>
  <si>
    <t>Бугат СЭМТ</t>
  </si>
  <si>
    <t>Тайшир СЭМТ</t>
  </si>
  <si>
    <t>Шарга СЭМТ</t>
  </si>
  <si>
    <t>“Марал-алтай” ӨЭМТ</t>
  </si>
  <si>
    <t>“Энх-алтай” ӨЭМТ</t>
  </si>
  <si>
    <t>Баянтал СЭМТ</t>
  </si>
  <si>
    <t>Говь-Сүмбэр аймаг</t>
  </si>
  <si>
    <t>“Медстоб” ӨЭМТ</t>
  </si>
  <si>
    <t>Дархан-Уул аймаг</t>
  </si>
  <si>
    <t>Зүүнбаян сум дундын эмнэлэг</t>
  </si>
  <si>
    <t>Дорноговь аймаг</t>
  </si>
  <si>
    <t>Дэлгэрэх СЭМТ</t>
  </si>
  <si>
    <t>Мандах СЭМТ</t>
  </si>
  <si>
    <t>“Агатова” ӨЭМТ</t>
  </si>
  <si>
    <t>Баянтүмэн СЭМТ</t>
  </si>
  <si>
    <t>Дорнод аймаг</t>
  </si>
  <si>
    <t>Гурванзагал СЭМТ</t>
  </si>
  <si>
    <t>ЦагаанОвоо СЭМТ</t>
  </si>
  <si>
    <t>Чойбалсан СЭМТ</t>
  </si>
  <si>
    <t>“Мянган жаргалан” ӨЭМТ</t>
  </si>
  <si>
    <t>Дэлгэрцогт СЭМТ</t>
  </si>
  <si>
    <t>Дундговь аймаг</t>
  </si>
  <si>
    <t>Луус СЭМТ</t>
  </si>
  <si>
    <t>Дэлгэрхангай СЭМТ</t>
  </si>
  <si>
    <t>Сайнцагаан СЭМТ</t>
  </si>
  <si>
    <t>“Өлзийтмандал” ӨЭМТ</t>
  </si>
  <si>
    <t>Завханмандал сум дундын эмнэлэг</t>
  </si>
  <si>
    <t>Завхан аймаг</t>
  </si>
  <si>
    <t>Шилүүстэй сум дундын эмнэлэг</t>
  </si>
  <si>
    <t>Баянтэс СЭМТ</t>
  </si>
  <si>
    <t xml:space="preserve">Дөрвөлжин СЭМТ </t>
  </si>
  <si>
    <t>Цэцэнуул СЭМТ</t>
  </si>
  <si>
    <t>Яруу СЭМТ</t>
  </si>
  <si>
    <t>“Дөрвөн оноо” ӨЭМТ</t>
  </si>
  <si>
    <t>Есөнзүйл сум дундын эмнэлэг</t>
  </si>
  <si>
    <t>Өвөрхангай аймаг</t>
  </si>
  <si>
    <t>Баян-Өндөр СЭМТ</t>
  </si>
  <si>
    <t>Гучин-Ус СЭМТ</t>
  </si>
  <si>
    <t>Зүүнбаян-Улаан СЭМТ</t>
  </si>
  <si>
    <t>Хайрхандулаан СЭМТ</t>
  </si>
  <si>
    <t>Ноён сум дундын эмнэлэг</t>
  </si>
  <si>
    <t>Өмнөговь аймаг</t>
  </si>
  <si>
    <t>Номгон СЭМТ</t>
  </si>
  <si>
    <t>Ханхонгор СЭМТ</t>
  </si>
  <si>
    <t>Хүрмэн СЭМТ</t>
  </si>
  <si>
    <t>Онгон сум дундын эмнэлэг</t>
  </si>
  <si>
    <t>Сүхбаатар аймаг</t>
  </si>
  <si>
    <t>Мөнххаан СЭМТ</t>
  </si>
  <si>
    <t>Наран СЭМТ</t>
  </si>
  <si>
    <t>Сүхбаатар СЭМТ</t>
  </si>
  <si>
    <t>Түвшинширээ СЭМТ</t>
  </si>
  <si>
    <t>Түмэнцогт СЭМТ</t>
  </si>
  <si>
    <t>Халзан СЭМТ</t>
  </si>
  <si>
    <t>Хөтөл сум дундын эмнэлэг</t>
  </si>
  <si>
    <t>Сэлэнгэ аймаг</t>
  </si>
  <si>
    <t>Түшиг СЭМТ</t>
  </si>
  <si>
    <t>Хэрх тосгоны ЭМТ</t>
  </si>
  <si>
    <t>Дулаанхаан тосгоны ЭМТ</t>
  </si>
  <si>
    <t>Архуст СЭМТ</t>
  </si>
  <si>
    <t>Төв аймаг</t>
  </si>
  <si>
    <t>Заамар СЭМТ</t>
  </si>
  <si>
    <t>Лүн СЭМТ</t>
  </si>
  <si>
    <t>Өндөрширээт СЭМТ</t>
  </si>
  <si>
    <t>Сэргэлэн СЭМТ</t>
  </si>
  <si>
    <t>Бөхмөрөн СЭМТ</t>
  </si>
  <si>
    <t>Увс аймаг</t>
  </si>
  <si>
    <t>Завхан СЭМТ</t>
  </si>
  <si>
    <t>Зүүнговь СЭМТ</t>
  </si>
  <si>
    <t>Зүүнхангай СЭМТ</t>
  </si>
  <si>
    <t>Малчин СЭМТ</t>
  </si>
  <si>
    <t>Өлгий СЭМТ</t>
  </si>
  <si>
    <t>Сагил СЭМТ</t>
  </si>
  <si>
    <t>Тариалан СЭМТ</t>
  </si>
  <si>
    <t>Тэс СЭМТ</t>
  </si>
  <si>
    <t>Ховд СЭМТ</t>
  </si>
  <si>
    <t>Хяргас СЭМТ</t>
  </si>
  <si>
    <t>Булган сумын Нэгдсэн эмнэлэг</t>
  </si>
  <si>
    <t>Ховд аймаг</t>
  </si>
  <si>
    <t>Дарви СЭМТ</t>
  </si>
  <si>
    <t>Мөнххайрхан СЭМТ</t>
  </si>
  <si>
    <t xml:space="preserve"> “Баатархайрхан” ӨЭМТ</t>
  </si>
  <si>
    <t>“Бугат” ӨЭМТ</t>
  </si>
  <si>
    <t>“Буянт” ӨЭМТ</t>
  </si>
  <si>
    <t xml:space="preserve">“Жаргалан” ӨЭМТ </t>
  </si>
  <si>
    <t>Булган сум ӨЭМТ</t>
  </si>
  <si>
    <t>Шинэ-Идэр сум дундын эмнэлэг</t>
  </si>
  <si>
    <t>Хөвсгөл аймаг</t>
  </si>
  <si>
    <t>Арбулаг СЭМТ</t>
  </si>
  <si>
    <t>Төмөрбулаг СЭМТ</t>
  </si>
  <si>
    <t>Биндэр сумын сум дундын эмнэлэг</t>
  </si>
  <si>
    <t>Хэнтий аймаг</t>
  </si>
  <si>
    <t>Галшар СЭМТ</t>
  </si>
  <si>
    <t>Баянмөнх СЭМТ</t>
  </si>
  <si>
    <t>Дэлгэрхаан СЭМТ</t>
  </si>
  <si>
    <t>Мөрөн СЭМТ</t>
  </si>
  <si>
    <t>Гурванбаян тосгоны ЭМТ</t>
  </si>
  <si>
    <t>Жич: Нийт 102 орон нутгийн эрүүл мэндийн байгууллагыг магадлан итгэмжлэлд орохоор тооцооллоо. Үүнээс: Хөдөөгийн Нэгдсэн эмнэлэг-1, Сум дундын эмнэлэг-11, сумын эрүүл мэндийн төв-71, тосгоны эрүүл мэндийн төв-3, өрхийн эрүүл мэндийн төв-16 байна. Нийт 13422 км автомашинаар явахаар тооцно.</t>
  </si>
  <si>
    <t>Нэгтгэсэн: МИЛА-ны ахлах мэргэжилтэн                             Д.Бямбасүрэн</t>
  </si>
  <si>
    <t>ЭМХТ-ийн 2019 онд ажиллагсдын дотоод болон гадаад сургалт</t>
  </si>
  <si>
    <t>ЭМХТ-ийн  Статистикийн чиглэлээр 2019 онд шаардлагатай төсөв</t>
  </si>
  <si>
    <t>2019 оны мэдээлэл сурталчилгааны зардал</t>
  </si>
  <si>
    <t>Эмийн зохицуулалтын албаны 2019 оны үйл ажиллагааны төсөв</t>
  </si>
  <si>
    <t xml:space="preserve">2019 онд хийгдэх засвар үйлчилгээний зардлын тооцоо </t>
  </si>
  <si>
    <t xml:space="preserve">2019 ОНД МАГАДЛАН ИТГЭМЖЛЭЛИЙН ХУГАЦАА ДУУСАХ </t>
  </si>
  <si>
    <t>НИЙСЛЭЛИЙН ЭРҮҮЛ МЭНДИЙН БАЙГУУЛЛАГУУД</t>
  </si>
  <si>
    <t>(2018.07.23-ны өдрийн байдлаар)</t>
  </si>
  <si>
    <t>Байгууллагын нэр</t>
  </si>
  <si>
    <t>Батламжийн дугаар</t>
  </si>
  <si>
    <t>Үргэлж</t>
  </si>
  <si>
    <t>лэх хугацаа</t>
  </si>
  <si>
    <t>Эхлэх огноо</t>
  </si>
  <si>
    <t>Дуусах огноо</t>
  </si>
  <si>
    <t>Хувийн хэвшлийн эрүүл мэндийн байгууллагууд:</t>
  </si>
  <si>
    <r>
      <t>1.</t>
    </r>
    <r>
      <rPr>
        <sz val="7"/>
        <color rgb="FF000000"/>
        <rFont val="Times New Roman"/>
        <family val="1"/>
      </rPr>
      <t xml:space="preserve">    </t>
    </r>
    <r>
      <rPr>
        <sz val="12"/>
        <color rgb="FF000000"/>
        <rFont val="Arial"/>
        <family val="2"/>
      </rPr>
      <t> </t>
    </r>
  </si>
  <si>
    <t>"Амин-Эрдэнэ" ХХК-ний эмнэлэг</t>
  </si>
  <si>
    <t>113/2017</t>
  </si>
  <si>
    <r>
      <t>2.</t>
    </r>
    <r>
      <rPr>
        <sz val="7"/>
        <color rgb="FF000000"/>
        <rFont val="Times New Roman"/>
        <family val="1"/>
      </rPr>
      <t xml:space="preserve">    </t>
    </r>
    <r>
      <rPr>
        <sz val="12"/>
        <color rgb="FF000000"/>
        <rFont val="Arial"/>
        <family val="2"/>
      </rPr>
      <t> </t>
    </r>
  </si>
  <si>
    <t xml:space="preserve">Энх-Ану  эмнэлэг  </t>
  </si>
  <si>
    <t>64/2017</t>
  </si>
  <si>
    <r>
      <t>3.</t>
    </r>
    <r>
      <rPr>
        <sz val="7"/>
        <color rgb="FF000000"/>
        <rFont val="Times New Roman"/>
        <family val="1"/>
      </rPr>
      <t xml:space="preserve">    </t>
    </r>
    <r>
      <rPr>
        <sz val="12"/>
        <color rgb="FF000000"/>
        <rFont val="Arial"/>
        <family val="2"/>
      </rPr>
      <t> </t>
    </r>
  </si>
  <si>
    <t xml:space="preserve">Нууц увидас- рашаан эмнэлэг    </t>
  </si>
  <si>
    <t>62/2017</t>
  </si>
  <si>
    <r>
      <t>4.</t>
    </r>
    <r>
      <rPr>
        <sz val="7"/>
        <color rgb="FF000000"/>
        <rFont val="Times New Roman"/>
        <family val="1"/>
      </rPr>
      <t xml:space="preserve">    </t>
    </r>
    <r>
      <rPr>
        <sz val="12"/>
        <color rgb="FF000000"/>
        <rFont val="Arial"/>
        <family val="2"/>
      </rPr>
      <t> </t>
    </r>
  </si>
  <si>
    <t xml:space="preserve">Жапан Монголын Фриендшип ХХК-ний эмнэлэг </t>
  </si>
  <si>
    <t>87/2017</t>
  </si>
  <si>
    <r>
      <t>5.</t>
    </r>
    <r>
      <rPr>
        <sz val="7"/>
        <color rgb="FF000000"/>
        <rFont val="Times New Roman"/>
        <family val="1"/>
      </rPr>
      <t xml:space="preserve">    </t>
    </r>
    <r>
      <rPr>
        <sz val="12"/>
        <color rgb="FF000000"/>
        <rFont val="Arial"/>
        <family val="2"/>
      </rPr>
      <t> </t>
    </r>
  </si>
  <si>
    <t xml:space="preserve">Буянт  ээж  ХХК-ний эмнэлэг  </t>
  </si>
  <si>
    <t>29/2018</t>
  </si>
  <si>
    <r>
      <t>6.</t>
    </r>
    <r>
      <rPr>
        <sz val="7"/>
        <color rgb="FF000000"/>
        <rFont val="Times New Roman"/>
        <family val="1"/>
      </rPr>
      <t xml:space="preserve">    </t>
    </r>
    <r>
      <rPr>
        <sz val="12"/>
        <color rgb="FF000000"/>
        <rFont val="Arial"/>
        <family val="2"/>
      </rPr>
      <t> </t>
    </r>
  </si>
  <si>
    <t>"Амарсанаа гүнж" ХХК-ний сувиллын газар</t>
  </si>
  <si>
    <t>52/2017</t>
  </si>
  <si>
    <r>
      <t>7.</t>
    </r>
    <r>
      <rPr>
        <sz val="7"/>
        <color rgb="FF000000"/>
        <rFont val="Times New Roman"/>
        <family val="1"/>
      </rPr>
      <t xml:space="preserve">    </t>
    </r>
    <r>
      <rPr>
        <sz val="12"/>
        <color rgb="FF000000"/>
        <rFont val="Arial"/>
        <family val="2"/>
      </rPr>
      <t> </t>
    </r>
  </si>
  <si>
    <t>"Нонаба" ХХК-ний "Мөнхийн үйлс 2" эмнэлэг</t>
  </si>
  <si>
    <t>49/2017</t>
  </si>
  <si>
    <r>
      <t>8.</t>
    </r>
    <r>
      <rPr>
        <sz val="7"/>
        <color rgb="FF000000"/>
        <rFont val="Times New Roman"/>
        <family val="1"/>
      </rPr>
      <t xml:space="preserve">    </t>
    </r>
    <r>
      <rPr>
        <sz val="12"/>
        <color rgb="FF000000"/>
        <rFont val="Arial"/>
        <family val="2"/>
      </rPr>
      <t> </t>
    </r>
  </si>
  <si>
    <t>"ЦНС" БГБХН-ийн эмнэлэг</t>
  </si>
  <si>
    <t>18/2017.</t>
  </si>
  <si>
    <r>
      <t>9.</t>
    </r>
    <r>
      <rPr>
        <sz val="7"/>
        <color rgb="FF000000"/>
        <rFont val="Times New Roman"/>
        <family val="1"/>
      </rPr>
      <t xml:space="preserve">    </t>
    </r>
    <r>
      <rPr>
        <sz val="12"/>
        <color rgb="FF000000"/>
        <rFont val="Arial"/>
        <family val="2"/>
      </rPr>
      <t> </t>
    </r>
  </si>
  <si>
    <t xml:space="preserve">"Баясгалантай дэлхий" эмнэлэг </t>
  </si>
  <si>
    <t>213/2017</t>
  </si>
  <si>
    <r>
      <t>10.</t>
    </r>
    <r>
      <rPr>
        <sz val="7"/>
        <color rgb="FF000000"/>
        <rFont val="Times New Roman"/>
        <family val="1"/>
      </rPr>
      <t xml:space="preserve"> </t>
    </r>
    <r>
      <rPr>
        <sz val="12"/>
        <color rgb="FF000000"/>
        <rFont val="Arial"/>
        <family val="2"/>
      </rPr>
      <t> </t>
    </r>
  </si>
  <si>
    <t xml:space="preserve">Грандмед ХХК-ний "Баатар ван" сувилал </t>
  </si>
  <si>
    <t>154/2017</t>
  </si>
  <si>
    <r>
      <t>11.</t>
    </r>
    <r>
      <rPr>
        <sz val="7"/>
        <color rgb="FF000000"/>
        <rFont val="Times New Roman"/>
        <family val="1"/>
      </rPr>
      <t xml:space="preserve"> </t>
    </r>
    <r>
      <rPr>
        <sz val="12"/>
        <color rgb="FF000000"/>
        <rFont val="Arial"/>
        <family val="2"/>
      </rPr>
      <t> </t>
    </r>
  </si>
  <si>
    <t>Номилон ХХК-ний "Мөнх-Оньч" эмнэлэг</t>
  </si>
  <si>
    <t>257/2017</t>
  </si>
  <si>
    <r>
      <t>12.</t>
    </r>
    <r>
      <rPr>
        <sz val="7"/>
        <color rgb="FF000000"/>
        <rFont val="Times New Roman"/>
        <family val="1"/>
      </rPr>
      <t xml:space="preserve"> </t>
    </r>
    <r>
      <rPr>
        <sz val="12"/>
        <color rgb="FF000000"/>
        <rFont val="Arial"/>
        <family val="2"/>
      </rPr>
      <t> </t>
    </r>
  </si>
  <si>
    <t>"Үйлс бүтэмж" ХХК-ний эмнэлэг</t>
  </si>
  <si>
    <t>258/2017</t>
  </si>
  <si>
    <r>
      <t>13.</t>
    </r>
    <r>
      <rPr>
        <sz val="7"/>
        <color rgb="FF000000"/>
        <rFont val="Times New Roman"/>
        <family val="1"/>
      </rPr>
      <t xml:space="preserve"> </t>
    </r>
    <r>
      <rPr>
        <sz val="12"/>
        <color rgb="FF000000"/>
        <rFont val="Arial"/>
        <family val="2"/>
      </rPr>
      <t> </t>
    </r>
  </si>
  <si>
    <t xml:space="preserve">"Бриллианс Клиник" ХХК-ний "Бриллиант Хоспис" эмнэлэг </t>
  </si>
  <si>
    <t>30/2018</t>
  </si>
  <si>
    <r>
      <t>14.</t>
    </r>
    <r>
      <rPr>
        <sz val="7"/>
        <color rgb="FF000000"/>
        <rFont val="Times New Roman"/>
        <family val="1"/>
      </rPr>
      <t xml:space="preserve"> </t>
    </r>
    <r>
      <rPr>
        <sz val="12"/>
        <color rgb="FF000000"/>
        <rFont val="Arial"/>
        <family val="2"/>
      </rPr>
      <t> </t>
    </r>
  </si>
  <si>
    <t>ОБЕГ, ДССЗТ-ийн дэргэдэх "Жаргалант" сувилал</t>
  </si>
  <si>
    <t>45/2018</t>
  </si>
  <si>
    <r>
      <t>15.</t>
    </r>
    <r>
      <rPr>
        <sz val="7"/>
        <color rgb="FF000000"/>
        <rFont val="Times New Roman"/>
        <family val="1"/>
      </rPr>
      <t xml:space="preserve"> </t>
    </r>
    <r>
      <rPr>
        <sz val="12"/>
        <color rgb="FF000000"/>
        <rFont val="Arial"/>
        <family val="2"/>
      </rPr>
      <t> </t>
    </r>
  </si>
  <si>
    <t>Бурам мишээл ХХК-ний Мишээл сувилал</t>
  </si>
  <si>
    <t>47/2018</t>
  </si>
  <si>
    <r>
      <t>16.</t>
    </r>
    <r>
      <rPr>
        <sz val="7"/>
        <color rgb="FF000000"/>
        <rFont val="Times New Roman"/>
        <family val="1"/>
      </rPr>
      <t xml:space="preserve"> </t>
    </r>
    <r>
      <rPr>
        <sz val="12"/>
        <color rgb="FF000000"/>
        <rFont val="Arial"/>
        <family val="2"/>
      </rPr>
      <t> </t>
    </r>
  </si>
  <si>
    <t xml:space="preserve">Булагтай сувилал /УБТЗ/  </t>
  </si>
  <si>
    <t>228/2017</t>
  </si>
  <si>
    <r>
      <t>17.</t>
    </r>
    <r>
      <rPr>
        <sz val="7"/>
        <color rgb="FF000000"/>
        <rFont val="Times New Roman"/>
        <family val="1"/>
      </rPr>
      <t xml:space="preserve"> </t>
    </r>
    <r>
      <rPr>
        <sz val="12"/>
        <color rgb="FF000000"/>
        <rFont val="Arial"/>
        <family val="2"/>
      </rPr>
      <t> </t>
    </r>
  </si>
  <si>
    <t>“Эпимон” эмнэлэг</t>
  </si>
  <si>
    <r>
      <t>18.</t>
    </r>
    <r>
      <rPr>
        <sz val="7"/>
        <color rgb="FF000000"/>
        <rFont val="Times New Roman"/>
        <family val="1"/>
      </rPr>
      <t xml:space="preserve"> </t>
    </r>
    <r>
      <rPr>
        <sz val="12"/>
        <color rgb="FF000000"/>
        <rFont val="Arial"/>
        <family val="2"/>
      </rPr>
      <t> </t>
    </r>
  </si>
  <si>
    <t>“Гурван гал” эмнэлэг</t>
  </si>
  <si>
    <t>31/2016</t>
  </si>
  <si>
    <r>
      <t>19.</t>
    </r>
    <r>
      <rPr>
        <sz val="7"/>
        <color rgb="FF000000"/>
        <rFont val="Times New Roman"/>
        <family val="1"/>
      </rPr>
      <t xml:space="preserve"> </t>
    </r>
    <r>
      <rPr>
        <sz val="12"/>
        <color rgb="FF000000"/>
        <rFont val="Arial"/>
        <family val="2"/>
      </rPr>
      <t> </t>
    </r>
  </si>
  <si>
    <t>Шагдарсүрэн ХХК-ний эмнэлэг</t>
  </si>
  <si>
    <t>33/2016</t>
  </si>
  <si>
    <r>
      <t>20.</t>
    </r>
    <r>
      <rPr>
        <sz val="7"/>
        <color rgb="FF000000"/>
        <rFont val="Times New Roman"/>
        <family val="1"/>
      </rPr>
      <t xml:space="preserve"> </t>
    </r>
    <r>
      <rPr>
        <sz val="12"/>
        <color rgb="FF000000"/>
        <rFont val="Arial"/>
        <family val="2"/>
      </rPr>
      <t> </t>
    </r>
  </si>
  <si>
    <t>“Аюурвэд” ХХК-ний эмнэлэг</t>
  </si>
  <si>
    <t>35/2016</t>
  </si>
  <si>
    <r>
      <t>21.</t>
    </r>
    <r>
      <rPr>
        <sz val="7"/>
        <color rgb="FF000000"/>
        <rFont val="Times New Roman"/>
        <family val="1"/>
      </rPr>
      <t xml:space="preserve"> </t>
    </r>
    <r>
      <rPr>
        <sz val="12"/>
        <color rgb="FF000000"/>
        <rFont val="Arial"/>
        <family val="2"/>
      </rPr>
      <t> </t>
    </r>
  </si>
  <si>
    <t>Сэргээн засах клиникийн эмнэлэг</t>
  </si>
  <si>
    <t>52/2016</t>
  </si>
  <si>
    <r>
      <t>22.</t>
    </r>
    <r>
      <rPr>
        <sz val="7"/>
        <color rgb="FF000000"/>
        <rFont val="Times New Roman"/>
        <family val="1"/>
      </rPr>
      <t xml:space="preserve"> </t>
    </r>
    <r>
      <rPr>
        <sz val="12"/>
        <color rgb="FF000000"/>
        <rFont val="Arial"/>
        <family val="2"/>
      </rPr>
      <t> </t>
    </r>
  </si>
  <si>
    <t>“Увидаст байгаль” эмнэлэг</t>
  </si>
  <si>
    <t>54/2016</t>
  </si>
  <si>
    <r>
      <t>23.</t>
    </r>
    <r>
      <rPr>
        <sz val="7"/>
        <color rgb="FF000000"/>
        <rFont val="Times New Roman"/>
        <family val="1"/>
      </rPr>
      <t xml:space="preserve"> </t>
    </r>
    <r>
      <rPr>
        <sz val="12"/>
        <color rgb="FF000000"/>
        <rFont val="Arial"/>
        <family val="2"/>
      </rPr>
      <t> </t>
    </r>
  </si>
  <si>
    <t>“Түмэншанд” ХХК-ний</t>
  </si>
  <si>
    <t>эмнэлэг</t>
  </si>
  <si>
    <t>94/2016</t>
  </si>
  <si>
    <r>
      <t>24.</t>
    </r>
    <r>
      <rPr>
        <sz val="7"/>
        <color rgb="FF000000"/>
        <rFont val="Times New Roman"/>
        <family val="1"/>
      </rPr>
      <t xml:space="preserve"> </t>
    </r>
    <r>
      <rPr>
        <sz val="12"/>
        <color rgb="FF000000"/>
        <rFont val="Arial"/>
        <family val="2"/>
      </rPr>
      <t> </t>
    </r>
  </si>
  <si>
    <t>“Жинст” эмнэлэг</t>
  </si>
  <si>
    <t>58/2015</t>
  </si>
  <si>
    <r>
      <t>25.</t>
    </r>
    <r>
      <rPr>
        <sz val="7"/>
        <color rgb="FF000000"/>
        <rFont val="Times New Roman"/>
        <family val="1"/>
      </rPr>
      <t xml:space="preserve"> </t>
    </r>
    <r>
      <rPr>
        <sz val="12"/>
        <color rgb="FF000000"/>
        <rFont val="Arial"/>
        <family val="2"/>
      </rPr>
      <t> </t>
    </r>
  </si>
  <si>
    <t>“МОНГ-ЭМ” эмнэлэг</t>
  </si>
  <si>
    <t>59/2015</t>
  </si>
  <si>
    <r>
      <t>26.</t>
    </r>
    <r>
      <rPr>
        <sz val="7"/>
        <color rgb="FF000000"/>
        <rFont val="Times New Roman"/>
        <family val="1"/>
      </rPr>
      <t xml:space="preserve"> </t>
    </r>
    <r>
      <rPr>
        <sz val="12"/>
        <color rgb="FF000000"/>
        <rFont val="Arial"/>
        <family val="2"/>
      </rPr>
      <t> </t>
    </r>
  </si>
  <si>
    <t>“Хулж боржигон” эмнэлэг</t>
  </si>
  <si>
    <t>62/2015</t>
  </si>
  <si>
    <r>
      <t>27.</t>
    </r>
    <r>
      <rPr>
        <sz val="7"/>
        <color rgb="FF000000"/>
        <rFont val="Times New Roman"/>
        <family val="1"/>
      </rPr>
      <t xml:space="preserve"> </t>
    </r>
    <r>
      <rPr>
        <sz val="12"/>
        <color rgb="FF000000"/>
        <rFont val="Arial"/>
        <family val="2"/>
      </rPr>
      <t> </t>
    </r>
  </si>
  <si>
    <t>УАШУТҮК-ний эмнэлэг</t>
  </si>
  <si>
    <t>74/2015</t>
  </si>
  <si>
    <r>
      <t>28.</t>
    </r>
    <r>
      <rPr>
        <sz val="7"/>
        <color rgb="FF000000"/>
        <rFont val="Times New Roman"/>
        <family val="1"/>
      </rPr>
      <t xml:space="preserve"> </t>
    </r>
    <r>
      <rPr>
        <sz val="12"/>
        <color rgb="FF000000"/>
        <rFont val="Arial"/>
        <family val="2"/>
      </rPr>
      <t> </t>
    </r>
  </si>
  <si>
    <t>“Далд засал” эмнэлэг</t>
  </si>
  <si>
    <t>77/2015</t>
  </si>
  <si>
    <r>
      <t>29.</t>
    </r>
    <r>
      <rPr>
        <sz val="7"/>
        <color rgb="FF000000"/>
        <rFont val="Times New Roman"/>
        <family val="1"/>
      </rPr>
      <t xml:space="preserve"> </t>
    </r>
    <r>
      <rPr>
        <sz val="12"/>
        <color rgb="FF000000"/>
        <rFont val="Arial"/>
        <family val="2"/>
      </rPr>
      <t> </t>
    </r>
  </si>
  <si>
    <t>“Мангут” эмнэлэг</t>
  </si>
  <si>
    <t>111/2015</t>
  </si>
  <si>
    <r>
      <t>30.</t>
    </r>
    <r>
      <rPr>
        <sz val="7"/>
        <color rgb="FF000000"/>
        <rFont val="Times New Roman"/>
        <family val="1"/>
      </rPr>
      <t xml:space="preserve"> </t>
    </r>
    <r>
      <rPr>
        <sz val="12"/>
        <color rgb="FF000000"/>
        <rFont val="Arial"/>
        <family val="2"/>
      </rPr>
      <t> </t>
    </r>
  </si>
  <si>
    <t>“Ортопед” эмнэлэг</t>
  </si>
  <si>
    <t>112/2015</t>
  </si>
  <si>
    <r>
      <t>31.</t>
    </r>
    <r>
      <rPr>
        <sz val="7"/>
        <color rgb="FF000000"/>
        <rFont val="Times New Roman"/>
        <family val="1"/>
      </rPr>
      <t xml:space="preserve"> </t>
    </r>
    <r>
      <rPr>
        <sz val="12"/>
        <color rgb="FF000000"/>
        <rFont val="Arial"/>
        <family val="2"/>
      </rPr>
      <t> </t>
    </r>
  </si>
  <si>
    <t>“Си Жи Эс” эмнэлэг</t>
  </si>
  <si>
    <t>114/2015</t>
  </si>
  <si>
    <r>
      <t>32.</t>
    </r>
    <r>
      <rPr>
        <sz val="7"/>
        <color rgb="FF000000"/>
        <rFont val="Times New Roman"/>
        <family val="1"/>
      </rPr>
      <t xml:space="preserve"> </t>
    </r>
    <r>
      <rPr>
        <sz val="12"/>
        <color rgb="FF000000"/>
        <rFont val="Arial"/>
        <family val="2"/>
      </rPr>
      <t> </t>
    </r>
  </si>
  <si>
    <t>“Гэгээн манал” сувилал</t>
  </si>
  <si>
    <t>116/2015</t>
  </si>
  <si>
    <r>
      <t>33.</t>
    </r>
    <r>
      <rPr>
        <sz val="7"/>
        <color rgb="FF000000"/>
        <rFont val="Times New Roman"/>
        <family val="1"/>
      </rPr>
      <t xml:space="preserve"> </t>
    </r>
    <r>
      <rPr>
        <sz val="12"/>
        <color rgb="FF000000"/>
        <rFont val="Arial"/>
        <family val="2"/>
      </rPr>
      <t> </t>
    </r>
  </si>
  <si>
    <t>“Су Джок” эмнэлэг</t>
  </si>
  <si>
    <t>199/2015</t>
  </si>
  <si>
    <t>Төрөлжсөн мэргэшлийн эмнэлэг, тусгай мэргэжлийн төв:</t>
  </si>
  <si>
    <r>
      <t>34.</t>
    </r>
    <r>
      <rPr>
        <sz val="7"/>
        <color rgb="FF000000"/>
        <rFont val="Times New Roman"/>
        <family val="1"/>
      </rPr>
      <t xml:space="preserve"> </t>
    </r>
    <r>
      <rPr>
        <sz val="12"/>
        <color rgb="FF000000"/>
        <rFont val="Arial"/>
        <family val="2"/>
      </rPr>
      <t> </t>
    </r>
  </si>
  <si>
    <t>ХӨСҮТ</t>
  </si>
  <si>
    <t>86/2016</t>
  </si>
  <si>
    <r>
      <t>35.</t>
    </r>
    <r>
      <rPr>
        <sz val="7"/>
        <color rgb="FF000000"/>
        <rFont val="Times New Roman"/>
        <family val="1"/>
      </rPr>
      <t xml:space="preserve"> </t>
    </r>
    <r>
      <rPr>
        <sz val="12"/>
        <color rgb="FF000000"/>
        <rFont val="Arial"/>
        <family val="2"/>
      </rPr>
      <t> </t>
    </r>
  </si>
  <si>
    <t>СЭМҮТ</t>
  </si>
  <si>
    <t>72/2015</t>
  </si>
  <si>
    <t>Нийслэлийн ЭМГ-ын харъяа байгууллагууд:</t>
  </si>
  <si>
    <r>
      <t>36.</t>
    </r>
    <r>
      <rPr>
        <sz val="7"/>
        <color rgb="FF000000"/>
        <rFont val="Times New Roman"/>
        <family val="1"/>
      </rPr>
      <t xml:space="preserve"> </t>
    </r>
    <r>
      <rPr>
        <sz val="12"/>
        <color rgb="FF000000"/>
        <rFont val="Arial"/>
        <family val="2"/>
      </rPr>
      <t> </t>
    </r>
  </si>
  <si>
    <t>"Эмнэхүй"  ӨЭМТ</t>
  </si>
  <si>
    <t>82/2017</t>
  </si>
  <si>
    <r>
      <t>37.</t>
    </r>
    <r>
      <rPr>
        <sz val="7"/>
        <color rgb="FF000000"/>
        <rFont val="Times New Roman"/>
        <family val="1"/>
      </rPr>
      <t xml:space="preserve"> </t>
    </r>
    <r>
      <rPr>
        <sz val="12"/>
        <color rgb="FF000000"/>
        <rFont val="Arial"/>
        <family val="2"/>
      </rPr>
      <t> </t>
    </r>
  </si>
  <si>
    <t>"Цэн-Оюу" ӨЭМТ</t>
  </si>
  <si>
    <t>41/2017</t>
  </si>
  <si>
    <r>
      <t>38.</t>
    </r>
    <r>
      <rPr>
        <sz val="7"/>
        <color rgb="FF000000"/>
        <rFont val="Times New Roman"/>
        <family val="1"/>
      </rPr>
      <t xml:space="preserve"> </t>
    </r>
    <r>
      <rPr>
        <sz val="12"/>
        <color rgb="FF000000"/>
        <rFont val="Arial"/>
        <family val="2"/>
      </rPr>
      <t> </t>
    </r>
  </si>
  <si>
    <t>"Увидаст-Од" ӨЭМТ</t>
  </si>
  <si>
    <t>42/2017</t>
  </si>
  <si>
    <r>
      <t>39.</t>
    </r>
    <r>
      <rPr>
        <sz val="7"/>
        <color rgb="FF000000"/>
        <rFont val="Times New Roman"/>
        <family val="1"/>
      </rPr>
      <t xml:space="preserve"> </t>
    </r>
    <r>
      <rPr>
        <sz val="12"/>
        <color rgb="FF000000"/>
        <rFont val="Arial"/>
        <family val="2"/>
      </rPr>
      <t> </t>
    </r>
  </si>
  <si>
    <t>Налайх дүүргийн ЭМТ</t>
  </si>
  <si>
    <t>54/2017</t>
  </si>
  <si>
    <r>
      <t>40.</t>
    </r>
    <r>
      <rPr>
        <sz val="7"/>
        <color rgb="FF000000"/>
        <rFont val="Times New Roman"/>
        <family val="1"/>
      </rPr>
      <t xml:space="preserve"> </t>
    </r>
    <r>
      <rPr>
        <sz val="12"/>
        <color rgb="FF000000"/>
        <rFont val="Arial"/>
        <family val="2"/>
      </rPr>
      <t> </t>
    </r>
  </si>
  <si>
    <t>"Энэрэл" эмнэлэг</t>
  </si>
  <si>
    <r>
      <t>41.</t>
    </r>
    <r>
      <rPr>
        <sz val="7"/>
        <color rgb="FF000000"/>
        <rFont val="Times New Roman"/>
        <family val="1"/>
      </rPr>
      <t xml:space="preserve"> </t>
    </r>
    <r>
      <rPr>
        <sz val="12"/>
        <color rgb="FF000000"/>
        <rFont val="Arial"/>
        <family val="2"/>
      </rPr>
      <t> </t>
    </r>
  </si>
  <si>
    <t>"Ач элбэрэл" ӨЭМТ</t>
  </si>
  <si>
    <r>
      <t>42.</t>
    </r>
    <r>
      <rPr>
        <sz val="7"/>
        <color rgb="FF000000"/>
        <rFont val="Times New Roman"/>
        <family val="1"/>
      </rPr>
      <t xml:space="preserve"> </t>
    </r>
    <r>
      <rPr>
        <sz val="12"/>
        <color rgb="FF000000"/>
        <rFont val="Arial"/>
        <family val="2"/>
      </rPr>
      <t> </t>
    </r>
  </si>
  <si>
    <t>"Биваангирд" ӨЭМТ</t>
  </si>
  <si>
    <r>
      <t>43.</t>
    </r>
    <r>
      <rPr>
        <sz val="7"/>
        <color rgb="FF000000"/>
        <rFont val="Times New Roman"/>
        <family val="1"/>
      </rPr>
      <t xml:space="preserve"> </t>
    </r>
    <r>
      <rPr>
        <sz val="12"/>
        <color rgb="FF000000"/>
        <rFont val="Arial"/>
        <family val="2"/>
      </rPr>
      <t> </t>
    </r>
  </si>
  <si>
    <t>"Энэрэлт-Өлзий" ӨЭМТ</t>
  </si>
  <si>
    <r>
      <t>44.</t>
    </r>
    <r>
      <rPr>
        <sz val="7"/>
        <color rgb="FF000000"/>
        <rFont val="Times New Roman"/>
        <family val="1"/>
      </rPr>
      <t xml:space="preserve"> </t>
    </r>
    <r>
      <rPr>
        <sz val="12"/>
        <color rgb="FF000000"/>
        <rFont val="Arial"/>
        <family val="2"/>
      </rPr>
      <t> </t>
    </r>
  </si>
  <si>
    <t>"Энх-Өрх" ӨЭМТ</t>
  </si>
  <si>
    <r>
      <t>45.</t>
    </r>
    <r>
      <rPr>
        <sz val="7"/>
        <color rgb="FF000000"/>
        <rFont val="Times New Roman"/>
        <family val="1"/>
      </rPr>
      <t xml:space="preserve"> </t>
    </r>
    <r>
      <rPr>
        <sz val="12"/>
        <color rgb="FF000000"/>
        <rFont val="Arial"/>
        <family val="2"/>
      </rPr>
      <t> </t>
    </r>
  </si>
  <si>
    <t>"Андсайхан" ӨЭМТ</t>
  </si>
  <si>
    <r>
      <t>46.</t>
    </r>
    <r>
      <rPr>
        <sz val="7"/>
        <color rgb="FF000000"/>
        <rFont val="Times New Roman"/>
        <family val="1"/>
      </rPr>
      <t xml:space="preserve"> </t>
    </r>
    <r>
      <rPr>
        <sz val="12"/>
        <color rgb="FF000000"/>
        <rFont val="Arial"/>
        <family val="2"/>
      </rPr>
      <t> </t>
    </r>
  </si>
  <si>
    <t>"Нова" ӨЭМТ</t>
  </si>
  <si>
    <r>
      <t>47.</t>
    </r>
    <r>
      <rPr>
        <sz val="7"/>
        <color rgb="FF000000"/>
        <rFont val="Times New Roman"/>
        <family val="1"/>
      </rPr>
      <t xml:space="preserve"> </t>
    </r>
    <r>
      <rPr>
        <sz val="12"/>
        <color rgb="FF000000"/>
        <rFont val="Arial"/>
        <family val="2"/>
      </rPr>
      <t> </t>
    </r>
  </si>
  <si>
    <t>"Энх-Энэрэл" ӨЭМТ</t>
  </si>
  <si>
    <r>
      <t>48.</t>
    </r>
    <r>
      <rPr>
        <sz val="7"/>
        <color rgb="FF000000"/>
        <rFont val="Times New Roman"/>
        <family val="1"/>
      </rPr>
      <t xml:space="preserve"> </t>
    </r>
    <r>
      <rPr>
        <sz val="12"/>
        <color rgb="FF000000"/>
        <rFont val="Arial"/>
        <family val="2"/>
      </rPr>
      <t> </t>
    </r>
  </si>
  <si>
    <t>"Эрүүл-Оршихуй" ӨЭМТ</t>
  </si>
  <si>
    <r>
      <t>49.</t>
    </r>
    <r>
      <rPr>
        <sz val="7"/>
        <color rgb="FF000000"/>
        <rFont val="Times New Roman"/>
        <family val="1"/>
      </rPr>
      <t xml:space="preserve"> </t>
    </r>
    <r>
      <rPr>
        <sz val="12"/>
        <color rgb="FF000000"/>
        <rFont val="Arial"/>
        <family val="2"/>
      </rPr>
      <t> </t>
    </r>
  </si>
  <si>
    <t>"Шэжиддүг" ӨЭМТ</t>
  </si>
  <si>
    <r>
      <t>50.</t>
    </r>
    <r>
      <rPr>
        <sz val="7"/>
        <color rgb="FF000000"/>
        <rFont val="Times New Roman"/>
        <family val="1"/>
      </rPr>
      <t xml:space="preserve"> </t>
    </r>
    <r>
      <rPr>
        <sz val="12"/>
        <color rgb="FF000000"/>
        <rFont val="Arial"/>
        <family val="2"/>
      </rPr>
      <t> </t>
    </r>
  </si>
  <si>
    <t>"Хаш чагнуур" ӨЭМТ</t>
  </si>
  <si>
    <t>13/2017</t>
  </si>
  <si>
    <r>
      <t>51.</t>
    </r>
    <r>
      <rPr>
        <sz val="7"/>
        <color rgb="FF000000"/>
        <rFont val="Times New Roman"/>
        <family val="1"/>
      </rPr>
      <t xml:space="preserve"> </t>
    </r>
    <r>
      <rPr>
        <sz val="12"/>
        <color rgb="FF000000"/>
        <rFont val="Arial"/>
        <family val="2"/>
      </rPr>
      <t> </t>
    </r>
  </si>
  <si>
    <t>"Буянт манал" ӨЭМТ</t>
  </si>
  <si>
    <t>15/2017</t>
  </si>
  <si>
    <r>
      <t>52.</t>
    </r>
    <r>
      <rPr>
        <sz val="7"/>
        <color rgb="FF000000"/>
        <rFont val="Times New Roman"/>
        <family val="1"/>
      </rPr>
      <t xml:space="preserve"> </t>
    </r>
    <r>
      <rPr>
        <sz val="12"/>
        <color rgb="FF000000"/>
        <rFont val="Arial"/>
        <family val="2"/>
      </rPr>
      <t> </t>
    </r>
  </si>
  <si>
    <t>"Эхэн босго" ӨЭМТ</t>
  </si>
  <si>
    <t>16/2017</t>
  </si>
  <si>
    <r>
      <t>53.</t>
    </r>
    <r>
      <rPr>
        <sz val="7"/>
        <color rgb="FF000000"/>
        <rFont val="Times New Roman"/>
        <family val="1"/>
      </rPr>
      <t xml:space="preserve"> </t>
    </r>
    <r>
      <rPr>
        <sz val="12"/>
        <color rgb="FF000000"/>
        <rFont val="Arial"/>
        <family val="2"/>
      </rPr>
      <t> </t>
    </r>
  </si>
  <si>
    <t>"Мичид Асралт" ӨЭМТ</t>
  </si>
  <si>
    <t>17/2017</t>
  </si>
  <si>
    <r>
      <t>54.</t>
    </r>
    <r>
      <rPr>
        <sz val="7"/>
        <color rgb="FF000000"/>
        <rFont val="Times New Roman"/>
        <family val="1"/>
      </rPr>
      <t xml:space="preserve"> </t>
    </r>
    <r>
      <rPr>
        <sz val="12"/>
        <color rgb="FF000000"/>
        <rFont val="Arial"/>
        <family val="2"/>
      </rPr>
      <t> </t>
    </r>
  </si>
  <si>
    <t>"Эрүүл өсөх" ӨЭМТ</t>
  </si>
  <si>
    <t>126/2017</t>
  </si>
  <si>
    <r>
      <t>55.</t>
    </r>
    <r>
      <rPr>
        <sz val="7"/>
        <color rgb="FF000000"/>
        <rFont val="Times New Roman"/>
        <family val="1"/>
      </rPr>
      <t xml:space="preserve"> </t>
    </r>
    <r>
      <rPr>
        <sz val="12"/>
        <color rgb="FF000000"/>
        <rFont val="Arial"/>
        <family val="2"/>
      </rPr>
      <t> </t>
    </r>
  </si>
  <si>
    <t>"Энэр Ази" ӨЭМТ</t>
  </si>
  <si>
    <t>127/2017</t>
  </si>
  <si>
    <r>
      <t>56.</t>
    </r>
    <r>
      <rPr>
        <sz val="7"/>
        <color rgb="FF000000"/>
        <rFont val="Times New Roman"/>
        <family val="1"/>
      </rPr>
      <t xml:space="preserve"> </t>
    </r>
    <r>
      <rPr>
        <sz val="12"/>
        <color rgb="FF000000"/>
        <rFont val="Arial"/>
        <family val="2"/>
      </rPr>
      <t> </t>
    </r>
  </si>
  <si>
    <t>"Миний зөвлөгч" ӨЭМТ</t>
  </si>
  <si>
    <t>216/2017</t>
  </si>
  <si>
    <r>
      <t>57.</t>
    </r>
    <r>
      <rPr>
        <sz val="7"/>
        <color rgb="FF000000"/>
        <rFont val="Times New Roman"/>
        <family val="1"/>
      </rPr>
      <t xml:space="preserve"> </t>
    </r>
    <r>
      <rPr>
        <sz val="12"/>
        <color rgb="FF000000"/>
        <rFont val="Arial"/>
        <family val="2"/>
      </rPr>
      <t> </t>
    </r>
  </si>
  <si>
    <t>"Тэгш мэнд" ӨЭМТ</t>
  </si>
  <si>
    <t>217/2017</t>
  </si>
  <si>
    <r>
      <t>58.</t>
    </r>
    <r>
      <rPr>
        <sz val="7"/>
        <color rgb="FF000000"/>
        <rFont val="Times New Roman"/>
        <family val="1"/>
      </rPr>
      <t xml:space="preserve"> </t>
    </r>
    <r>
      <rPr>
        <sz val="12"/>
        <color rgb="FF000000"/>
        <rFont val="Arial"/>
        <family val="2"/>
      </rPr>
      <t> </t>
    </r>
  </si>
  <si>
    <t>"Ундрах-Ирээдүй" ӨЭМТ</t>
  </si>
  <si>
    <t>218/2017</t>
  </si>
  <si>
    <r>
      <t>59.</t>
    </r>
    <r>
      <rPr>
        <sz val="7"/>
        <color rgb="FF000000"/>
        <rFont val="Times New Roman"/>
        <family val="1"/>
      </rPr>
      <t xml:space="preserve"> </t>
    </r>
    <r>
      <rPr>
        <sz val="12"/>
        <color rgb="FF000000"/>
        <rFont val="Arial"/>
        <family val="2"/>
      </rPr>
      <t> </t>
    </r>
  </si>
  <si>
    <t>СБД-ийн ЭМТ-ийн дэргэдэх сувиллын цогцолбор</t>
  </si>
  <si>
    <t>227/2017</t>
  </si>
  <si>
    <r>
      <t>60.</t>
    </r>
    <r>
      <rPr>
        <sz val="7"/>
        <color rgb="FF000000"/>
        <rFont val="Times New Roman"/>
        <family val="1"/>
      </rPr>
      <t xml:space="preserve"> </t>
    </r>
    <r>
      <rPr>
        <sz val="12"/>
        <color rgb="FF000000"/>
        <rFont val="Arial"/>
        <family val="2"/>
      </rPr>
      <t> </t>
    </r>
  </si>
  <si>
    <t>"Гүн мэдрэмж" ӨЭМТ</t>
  </si>
  <si>
    <t>249/2017</t>
  </si>
  <si>
    <r>
      <t>61.</t>
    </r>
    <r>
      <rPr>
        <sz val="7"/>
        <color rgb="FF000000"/>
        <rFont val="Times New Roman"/>
        <family val="1"/>
      </rPr>
      <t xml:space="preserve"> </t>
    </r>
    <r>
      <rPr>
        <sz val="12"/>
        <color rgb="FF000000"/>
        <rFont val="Arial"/>
        <family val="2"/>
      </rPr>
      <t> </t>
    </r>
  </si>
  <si>
    <t>"Амгалан өрх" ӨЭМТ</t>
  </si>
  <si>
    <t>251/2017</t>
  </si>
  <si>
    <r>
      <t>62.</t>
    </r>
    <r>
      <rPr>
        <sz val="7"/>
        <color rgb="FF000000"/>
        <rFont val="Times New Roman"/>
        <family val="1"/>
      </rPr>
      <t xml:space="preserve"> </t>
    </r>
    <r>
      <rPr>
        <sz val="12"/>
        <color rgb="FF000000"/>
        <rFont val="Arial"/>
        <family val="2"/>
      </rPr>
      <t> </t>
    </r>
  </si>
  <si>
    <t>"Учрахуй" ӨЭМТ</t>
  </si>
  <si>
    <t>17/2018</t>
  </si>
  <si>
    <r>
      <t>63.</t>
    </r>
    <r>
      <rPr>
        <sz val="7"/>
        <color rgb="FF000000"/>
        <rFont val="Times New Roman"/>
        <family val="1"/>
      </rPr>
      <t xml:space="preserve"> </t>
    </r>
    <r>
      <rPr>
        <sz val="12"/>
        <color rgb="FF000000"/>
        <rFont val="Arial"/>
        <family val="2"/>
      </rPr>
      <t> </t>
    </r>
  </si>
  <si>
    <t>“Уясах” ӨЭМТ</t>
  </si>
  <si>
    <r>
      <t>64.</t>
    </r>
    <r>
      <rPr>
        <sz val="7"/>
        <color rgb="FF000000"/>
        <rFont val="Times New Roman"/>
        <family val="1"/>
      </rPr>
      <t xml:space="preserve"> </t>
    </r>
    <r>
      <rPr>
        <sz val="12"/>
        <color rgb="FF000000"/>
        <rFont val="Arial"/>
        <family val="2"/>
      </rPr>
      <t> </t>
    </r>
  </si>
  <si>
    <t>“Энх-элбэрэл” ӨЭМТ</t>
  </si>
  <si>
    <t>82/2015</t>
  </si>
  <si>
    <r>
      <t>65.</t>
    </r>
    <r>
      <rPr>
        <sz val="7"/>
        <color rgb="FF000000"/>
        <rFont val="Times New Roman"/>
        <family val="1"/>
      </rPr>
      <t xml:space="preserve"> </t>
    </r>
    <r>
      <rPr>
        <sz val="12"/>
        <color rgb="FF000000"/>
        <rFont val="Arial"/>
        <family val="2"/>
      </rPr>
      <t> </t>
    </r>
  </si>
  <si>
    <t>“Буянт манал” ӨЭМТ</t>
  </si>
  <si>
    <r>
      <t>66.</t>
    </r>
    <r>
      <rPr>
        <sz val="7"/>
        <color rgb="FF000000"/>
        <rFont val="Times New Roman"/>
        <family val="1"/>
      </rPr>
      <t xml:space="preserve"> </t>
    </r>
    <r>
      <rPr>
        <sz val="12"/>
        <color rgb="FF000000"/>
        <rFont val="Arial"/>
        <family val="2"/>
      </rPr>
      <t> </t>
    </r>
  </si>
  <si>
    <t>“Мөнгөлөнгоо” ӨЭМТ</t>
  </si>
  <si>
    <t>119/2015</t>
  </si>
  <si>
    <r>
      <t>67.</t>
    </r>
    <r>
      <rPr>
        <sz val="7"/>
        <color rgb="FF000000"/>
        <rFont val="Times New Roman"/>
        <family val="1"/>
      </rPr>
      <t xml:space="preserve"> </t>
    </r>
    <r>
      <rPr>
        <sz val="12"/>
        <color rgb="FF000000"/>
        <rFont val="Arial"/>
        <family val="2"/>
      </rPr>
      <t> </t>
    </r>
  </si>
  <si>
    <t>“Насан-Урт” ӨЭМТ</t>
  </si>
  <si>
    <t>67/2015</t>
  </si>
  <si>
    <r>
      <t>68.</t>
    </r>
    <r>
      <rPr>
        <sz val="7"/>
        <color rgb="FF000000"/>
        <rFont val="Times New Roman"/>
        <family val="1"/>
      </rPr>
      <t xml:space="preserve"> </t>
    </r>
    <r>
      <rPr>
        <sz val="12"/>
        <color rgb="FF000000"/>
        <rFont val="Arial"/>
        <family val="2"/>
      </rPr>
      <t> </t>
    </r>
  </si>
  <si>
    <t>ХУД-ийн ЭМТ</t>
  </si>
  <si>
    <t>88/2016</t>
  </si>
  <si>
    <t>Жагсаалт гаргасан:</t>
  </si>
  <si>
    <t xml:space="preserve">Н.Нарангэрэл </t>
  </si>
  <si>
    <t>Барилга, автомашин, сантехникийн засварын зардал</t>
  </si>
  <si>
    <t>Дулааны тоолуур</t>
  </si>
  <si>
    <t>Хэрэглээгээ хянах боломжтой болно.</t>
  </si>
  <si>
    <t>2-р байранд их засвар хийх</t>
  </si>
  <si>
    <t xml:space="preserve">Гадна дотор талын хана, тааз зарим газраа  нурсан бүх өрөөний хаалга , цахилгаан сантехниоийн холболтуудыг шинээр солих шаардлагатай.Нийслэлийн  мэргэжлийн хяналтын  газрын дүгнэлтээр нураах шаардлагатай гэж дүгнэсэн. </t>
  </si>
  <si>
    <t xml:space="preserve">2-р байранд   </t>
  </si>
  <si>
    <t xml:space="preserve">Өрөөнүүдийн ванн, гарын угаалтуур, жорлон, </t>
  </si>
  <si>
    <t>Төв хаалга, байрлагчдын өрөөний хаалга, сургалтын өрөөний хаалга</t>
  </si>
  <si>
    <t>2-р байрны шугам /худаг/ шинэчлэх засварын ажил</t>
  </si>
  <si>
    <t>Шугам муудсан тул болзошгүй аюулаас сэргийлж солих шаардлагатай байна.</t>
  </si>
  <si>
    <t>2-р байранд хогийн бункер барих</t>
  </si>
  <si>
    <t>Зориулалтын хогын савтай болох.</t>
  </si>
  <si>
    <t>Төв байрны ерөнхий  цахилгааны шит шинэчлэх, угсралт суурилуулалт</t>
  </si>
  <si>
    <t>Цахилгааны шит нь хуучирч муудсан ба ЭМЯамны 2018-07-03 өдрийн 2/2729 тоот албан шаардлагыг үндэслэн болзошгүй аюулаас урьдчлан сэргийлэх, хэрэгжилтийг хангуулах</t>
  </si>
  <si>
    <t>Төв байранд урсгал засвар хийх</t>
  </si>
  <si>
    <t>Өрөө болон коридорын хана таазыг будах, паарны хаалтыг солих.</t>
  </si>
  <si>
    <t>Төв байрны вакум цонхны резин солих</t>
  </si>
  <si>
    <t xml:space="preserve">Төв байрны өрөөнүүдийн хаалгыг солих </t>
  </si>
  <si>
    <t>Төв байрны өрөөнүүдийн хаалга муудсан тул солих шаардлагатай</t>
  </si>
  <si>
    <t>Sportage</t>
  </si>
  <si>
    <t xml:space="preserve">Амортизатор, пүрш, толь, мотор кропны тос, суудлын бүрээс, шил арчигч </t>
  </si>
  <si>
    <t>Accent</t>
  </si>
  <si>
    <t>Nissan</t>
  </si>
  <si>
    <t>2.  Тоног төхөөрөмж, багаж хэрэгсэл, эд хогшил</t>
  </si>
  <si>
    <t>Кондишн</t>
  </si>
  <si>
    <t>Сургалтын өрөөнүүд болон 105, 302 тоот өрөөнүүдэд</t>
  </si>
  <si>
    <t>Проектор</t>
  </si>
  <si>
    <t>Сургалтын өрөөнүүдэд</t>
  </si>
  <si>
    <t>Принтер</t>
  </si>
  <si>
    <t>3-н үйлдэлтэй</t>
  </si>
  <si>
    <t>Архивийн шүүгээ</t>
  </si>
  <si>
    <t>Зориулалтын шүүгээний хүрэлцээ дутмаг байгаа.</t>
  </si>
  <si>
    <t>Ор, сандал, ширээ ком тавилга</t>
  </si>
  <si>
    <t>Эмч нарын байрны ор, ширээ сандлыг шинээр солих шаардлагатай.</t>
  </si>
  <si>
    <t>Сандал ширээнгий ком</t>
  </si>
  <si>
    <t xml:space="preserve">Сургалтын өрөөнд </t>
  </si>
  <si>
    <t>Тестийн машин</t>
  </si>
  <si>
    <t>Тестийн хариу шалгагч машин</t>
  </si>
  <si>
    <t>Компютер</t>
  </si>
  <si>
    <t>Цахим шалгалтанд хэрэглэх</t>
  </si>
  <si>
    <t>Автомашин</t>
  </si>
  <si>
    <t>Туулах чадвар өндөртэй Ландкруйзер-76</t>
  </si>
  <si>
    <t>Эм, эмнэлгийн тоног төхөөрөмжийн албаны 2019 оны орлогын төcөөлөл</t>
  </si>
  <si>
    <t>Үйл ажиллагаа</t>
  </si>
  <si>
    <t>Үндэслэл</t>
  </si>
  <si>
    <t>Орлого төлөвлөлт</t>
  </si>
  <si>
    <t>I хувилбар</t>
  </si>
  <si>
    <t>II хувилбар</t>
  </si>
  <si>
    <t>III хувилбар</t>
  </si>
  <si>
    <t>1. Эмнэлгийн тоног төхөөрөмжийн шалгалт баталгаажуулалтын үйл ажиллагаа</t>
  </si>
  <si>
    <t>Эмнэлгийн тоног төхөөрөмжийн шалгалт баталгаажуулалт</t>
  </si>
  <si>
    <t>МУ-ын Шадар сайдын 2015 оны 117 дугаар тушаал</t>
  </si>
  <si>
    <t>2. Эмийн бүртгэлийн үйл ажиллагаа</t>
  </si>
  <si>
    <t>Эм, оношлуур, БИБ-ний бүртгэл</t>
  </si>
  <si>
    <t>ЭМССайдын 2015 оны 13 дугаар тушаал, Шинээр батлагдан гарах журам</t>
  </si>
  <si>
    <t>Эм, оношлуур, БИБ-ний бүртгэлийн сунгалт</t>
  </si>
  <si>
    <t>Эм, оношлуур, БИБ-ний бүртгэлийн өөрчлөлт</t>
  </si>
  <si>
    <t>БҮГД ДҮН</t>
  </si>
  <si>
    <t xml:space="preserve">Хянасан: </t>
  </si>
  <si>
    <t>Ш.Энхзаяа /ЭЭТТАлбаны дарга/</t>
  </si>
  <si>
    <t xml:space="preserve">Боловсруулсан: </t>
  </si>
  <si>
    <t>Б.Сансармаа /ЭЭТТАлбаны ахлах мэргэжилтэн /</t>
  </si>
  <si>
    <t>Ц.Болортуяа /ЭЭТТАлбаны мэргэжилтэн/</t>
  </si>
  <si>
    <t>2019 онд шалгалт баталгаажуулалт хийх  эмнэлгийн тоног төхөөрөмжийн судалгаа</t>
  </si>
  <si>
    <t>Эрүүл мэндийн                     байгууллагын нэр</t>
  </si>
  <si>
    <t>Эмнэлгийн тоног төхөөрөмжийн тоо</t>
  </si>
  <si>
    <t>Амьсгалын аппарат</t>
  </si>
  <si>
    <t>Дефибриллятор</t>
  </si>
  <si>
    <t>Дуслын автомат шахуурга</t>
  </si>
  <si>
    <t>Зүрхний цахилгаан бичлэгийн аппарат</t>
  </si>
  <si>
    <t>Компьютерт томографийн аппарат</t>
  </si>
  <si>
    <t>Наркозын аппарат</t>
  </si>
  <si>
    <t>Нярайн дулаацуулах ширээ</t>
  </si>
  <si>
    <t>Нярайн инкубатор</t>
  </si>
  <si>
    <t>Өвчтөний хяналтын монитор</t>
  </si>
  <si>
    <t>Рентген аппарат</t>
  </si>
  <si>
    <t>Тариурын автомат шахуурга</t>
  </si>
  <si>
    <t>Хүчилтөрөгч өтгөрүүлэгч</t>
  </si>
  <si>
    <t>Хэт авиан оношилгооны аппарат</t>
  </si>
  <si>
    <t>Цахилгаан мэс заслын аппарат</t>
  </si>
  <si>
    <t>ЭМЯ-ны харьяа</t>
  </si>
  <si>
    <t xml:space="preserve">Халдварт өвчин судлалын үндэсний төв </t>
  </si>
  <si>
    <t>Зоонозын өвчин судлалын үндэсний төв </t>
  </si>
  <si>
    <t xml:space="preserve">Цус сэлбэлт судлалын үндэсний төв </t>
  </si>
  <si>
    <t>Эмгэг судлалын үндэсний төв </t>
  </si>
  <si>
    <t xml:space="preserve">Сэтгэцийн эрүүл мэндийн үндэсний төв </t>
  </si>
  <si>
    <t>Нийгмийн эрүүл мэндийн үндэсний төв</t>
  </si>
  <si>
    <t>Арьсны өвчин судлалын үндэсний төв </t>
  </si>
  <si>
    <t>Геронтологийн үндэсний төв </t>
  </si>
  <si>
    <t>Хүүхдийн төв сувилал </t>
  </si>
  <si>
    <t>НЭМГ-ын харьяа</t>
  </si>
  <si>
    <t>Баянгол дүүргийн Эрүүл мэндийн төв</t>
  </si>
  <si>
    <t>Баянзүрх дүүргийн Нэгдсэн эмнэлэг</t>
  </si>
  <si>
    <t>Сонгинохайрхан дүүргийн Нэгдсэн эмнэлэг</t>
  </si>
  <si>
    <t>Сүхбаатар дүүргийн Нэгдсэн эмнэлэг</t>
  </si>
  <si>
    <t>Хан-Уул дүүргийн Нэгдсэн эмнэлэг</t>
  </si>
  <si>
    <t>Чингэлтэй дүүргийн Эрүүл мэндийн төв</t>
  </si>
  <si>
    <t>Налайх дүүргийн Эрүүл мэндийн төв</t>
  </si>
  <si>
    <t>Багануур дүүргийн Эрүүл мэндийн төв</t>
  </si>
  <si>
    <t>Өргөө Амаржих Газар</t>
  </si>
  <si>
    <t>Хүрээ Амаржих Газар</t>
  </si>
  <si>
    <t>Амгалан Амаржих Газар</t>
  </si>
  <si>
    <t xml:space="preserve">Орон нутаг </t>
  </si>
  <si>
    <t>Говьсүмбэр аймаг</t>
  </si>
  <si>
    <t xml:space="preserve">Тайлбар: </t>
  </si>
  <si>
    <t>2017 онд ЭМБайгууллагуудаас ирүүлсэн судалгааны дүнд үндэслэв.</t>
  </si>
  <si>
    <t>2019 онд эмнэлгийн тоног төхөөрөмжийн шалгалт баталгаажуулалтын үйл ажиллагаанд зарцуулах хугацаа</t>
  </si>
  <si>
    <t xml:space="preserve">1. Эмнэлгийн тоног төхөөрөмжийн шалгалт баталгаажуулалтын хийх 4 мэргэжилтэнээр тооцоолол хийхэд: </t>
  </si>
  <si>
    <t>Хоног</t>
  </si>
  <si>
    <t>Мэргэжилтэний тоо</t>
  </si>
  <si>
    <t>Нийт хоног</t>
  </si>
  <si>
    <t xml:space="preserve">Ажлын цаг </t>
  </si>
  <si>
    <t xml:space="preserve">Календарийн өдрийн тоо </t>
  </si>
  <si>
    <t xml:space="preserve">Ажлын өдрийн тоо </t>
  </si>
  <si>
    <t>Ээлжийн амралтын өдрийн тоо /дунджаар/</t>
  </si>
  <si>
    <t>Анализатор, симуляторыг үйлдвэрлэгчийн баталгаажуулалтад хамруулах өдрийн тоо /10-11 дугаар  сарын ажлын өдрүүд/</t>
  </si>
  <si>
    <t>Нийт цаг</t>
  </si>
  <si>
    <t>Шалгалт баталгаажуулалтад зарцуулах хугацаа</t>
  </si>
  <si>
    <t>Цаг ашиглалт 50%</t>
  </si>
  <si>
    <t>Цаг ашиглалт 60%</t>
  </si>
  <si>
    <t>Цаг ашиглалт 40%</t>
  </si>
  <si>
    <t>Зарцуулагдах цаг</t>
  </si>
  <si>
    <t>Шалгалт баталгаажуулалт хийгдэх тоног төхөөрөмжийн тоо</t>
  </si>
  <si>
    <t>Нэг мэргэжилтэнд ногдох тоног төхөөрөмжийн тоо</t>
  </si>
  <si>
    <t xml:space="preserve">2019 оны эмнэлгийн тоног төхөөрөмжийн шалгалт баталгаажуулалтын үйл ажиллагааны орлогын төсөөлөл </t>
  </si>
  <si>
    <t xml:space="preserve">Тоног төхөөрөмжийн нэр </t>
  </si>
  <si>
    <t xml:space="preserve">Судалгааны дагуу </t>
  </si>
  <si>
    <r>
      <t xml:space="preserve">I хувилбар - </t>
    </r>
    <r>
      <rPr>
        <b/>
        <sz val="10"/>
        <color theme="1"/>
        <rFont val="Arial"/>
        <family val="2"/>
      </rPr>
      <t>50%</t>
    </r>
  </si>
  <si>
    <r>
      <t xml:space="preserve">II хувилбар - </t>
    </r>
    <r>
      <rPr>
        <b/>
        <sz val="10"/>
        <color theme="1"/>
        <rFont val="Arial"/>
        <family val="2"/>
      </rPr>
      <t>40%</t>
    </r>
  </si>
  <si>
    <r>
      <t xml:space="preserve">III хувилбар - </t>
    </r>
    <r>
      <rPr>
        <b/>
        <sz val="10"/>
        <color theme="1"/>
        <rFont val="Arial"/>
        <family val="2"/>
      </rPr>
      <t>60%</t>
    </r>
  </si>
  <si>
    <t xml:space="preserve">Тоо ширхэг </t>
  </si>
  <si>
    <t>ШБ-ын тариф</t>
  </si>
  <si>
    <t>2019 оны эм, оношлуур, БИБ-ний бүртгэлийн орлогын төсөөлөл</t>
  </si>
  <si>
    <t>Шинэ бүртгэл</t>
  </si>
  <si>
    <t>Үндэсний үйлдвэрийн эм</t>
  </si>
  <si>
    <t>Үндэсний 
үйлдвэрийн уламжлалт эм</t>
  </si>
  <si>
    <t>Үндэсний үйлдвэрийн БИБ</t>
  </si>
  <si>
    <t>Шинэчилсэн бүртгэлийн төлбөрөөс орох  бүртгэлийн орлогоос орох нь (2019 он)</t>
  </si>
  <si>
    <t>Бүртгэлийн
 тариф</t>
  </si>
  <si>
    <t>Төлбөр нэмэгдэхээр эхний жилдээ бүртгүүлэх, сунгалт хийлгэх, өөрялөлт оруулах бүтээгдэхүүний тоо багасах магадлалтай.</t>
  </si>
  <si>
    <t>Эм, эмнэлгийн тоног төхөөрөмжийн албаны 2019 оны үйл ажиллагааны төсөв</t>
  </si>
  <si>
    <t xml:space="preserve">Шаардагдах төсөв </t>
  </si>
  <si>
    <t>Үндэслэл/Тайлбар</t>
  </si>
  <si>
    <t>1. Үйл ажиллагааны зардал</t>
  </si>
  <si>
    <t>Эмнэлгийн тоног төхөөрөмжид шалгалт тохируулга хийх симулятор, анализаторыг эрх бүхий хэмжилзүйн байгууллагаар баталгаажуулалт хийлгэх</t>
  </si>
  <si>
    <r>
      <t xml:space="preserve">Монгол Улсын Засгийн газрын 2016-2020 оны үйл ажиллагааны хөтөлбөрийг хэрэгжүүлэх арга хэмжээний төлөвлөгөөний “3.1.11 Олон улсын жишигт нийцсэн оношилгоо, эмчилгээний төв байгуулж, эрүүл мэндийн салбарт дэвшилтэт технологи нэвтрүүлэх замаар гадаадад гарах мөнгөн урсгалыг бууруулна” зорилтын хэрэгжүүлэх арга хэмжээний 5-д “Эмнэлгийн багаж, тоног төхөөрөмжийн чанарын хяналт, баталгаажилтыг өргөжүүлэх” гэж заасан энэ ажлын хүрээнд  бөгөөд Эмнэлгийн тоног төхөөрөмжийн шалгалт баталгаажуулалтын жишиг лабораторитой болох, үндэсний стандарт болох гэсэн ажлууд төлөвлөгдсөн. 2018 онд хэрэгжүүлэх үйл ажиллагааны 350.0 сая төгрөг суугдаагүй. 2019 онд </t>
    </r>
    <r>
      <rPr>
        <b/>
        <sz val="11"/>
        <color theme="1"/>
        <rFont val="Arial"/>
        <family val="2"/>
      </rPr>
      <t>300.0 сая т</t>
    </r>
    <r>
      <rPr>
        <sz val="11"/>
        <color theme="1"/>
        <rFont val="Arial"/>
        <family val="2"/>
      </rPr>
      <t xml:space="preserve">өгрөг төсөвлөгдсөн. </t>
    </r>
  </si>
  <si>
    <t>"Эмнэлгийн тоног төхөөрөмжид ерөнхий тавигдах шаардлага" олон улсын стандарт орчуулах болон хянуулах</t>
  </si>
  <si>
    <t>Эмийн бүртгэлийн гэрчилгээ хэвлүүлэх</t>
  </si>
  <si>
    <t>Эм, эмнэлгийн тухай хуулийн хэрэгжилтийн хангах, Эрүүл мэнд, спортын сайдын 2015 оны 13 дугаар тушаал</t>
  </si>
  <si>
    <t>ХЭЗ түүний салбар зөвлөл, ФХ-ны хурлын зардал</t>
  </si>
  <si>
    <t>Шинжээчийн ажлын хөлс</t>
  </si>
  <si>
    <t xml:space="preserve">Эмийн заавар баталгаажилт ажлын хөлс </t>
  </si>
  <si>
    <t>Эмийн мэдээлэл сэтгүүл</t>
  </si>
  <si>
    <t xml:space="preserve">Тандалт судалгаа хийх </t>
  </si>
  <si>
    <t>2. Хөрөнгө оруулалт</t>
  </si>
  <si>
    <t>Эмнэлгийн тоног төхөөрөмжийн шалгалт тохируулга хийхэд шаардлагатай симулятор, анализаторыг худалдан авах</t>
  </si>
  <si>
    <t>3. Томилолтын зардал</t>
  </si>
  <si>
    <r>
      <t xml:space="preserve">Гадаад томилолт: </t>
    </r>
    <r>
      <rPr>
        <sz val="11"/>
        <color rgb="FF000000"/>
        <rFont val="Arial"/>
        <family val="2"/>
      </rPr>
      <t>Эмнэлгийн тоног төхөөрөмжид шалгалт баталгаажуулалт хийх үйлдвэрлэгчтэй уулзалт хийх, гэрээ хэлцэл байгуулах</t>
    </r>
  </si>
  <si>
    <t xml:space="preserve"> Монгол Улсын Засгийн газрын 2016-2020 оны үйл ажиллагааны хөтөлбөрийн 3.1.11-ын 5 дугаар заалт, Монгол улсын Шадар сайдын 2015 оны 117 дугаар тушаал, Эрүүл мэндийн сайдын 2015 оны 249 дугаар тушаалын хэрэгжилтийн хангах </t>
  </si>
  <si>
    <r>
      <rPr>
        <b/>
        <sz val="11"/>
        <color theme="1"/>
        <rFont val="Arial"/>
        <family val="2"/>
      </rPr>
      <t xml:space="preserve">Дотоод томилолт: </t>
    </r>
    <r>
      <rPr>
        <sz val="11"/>
        <color theme="1"/>
        <rFont val="Arial"/>
        <family val="2"/>
      </rPr>
      <t>БОЭТ, аймгийн нэгдсэн эмнэлэг болон эрүүл мэндийн газрын харвяа эрүүл мэндийн төвүүдийн эмнэлгийн тоног төхөөрөмжид  шалгалт баталгаажуулалт  хийх томилолтын зардал</t>
    </r>
  </si>
  <si>
    <t>4. Сургалтын зардал</t>
  </si>
  <si>
    <t>Эм, эмнэлгийн тоног төхөөрөмжийн албаны мэргэжилтнүүдийн хамрагдах сургалт</t>
  </si>
  <si>
    <r>
      <t xml:space="preserve">Монгол Улсын Засгийн газрын 2016-2020 оны үйл ажиллагааны хөтөлбөрийг хэрэгжүүлэх арга хэмжээний төлөвлөгөөний “3.1.11 Олон улсын жишигт нийцсэн оношилгоо, эмчилгээний төв байгуулж, эрүүл мэндийн салбарт дэвшилтэт технологи нэвтрүүлэх замаар гадаадад гарах мөнгөн урсгалыг бууруулна” зорилтын хэрэгжүүлэх арга хэмжээний 7-д “Оношилгоо, эмчилгээний тоног төхөөрөмжийн засвар үйлчилгээ хариуцсан нэгж бий болгож, инженер, мэргэжилтнүүдийг мэргэшүүлэх” гэж заасан. 2019 онд </t>
    </r>
    <r>
      <rPr>
        <b/>
        <sz val="11"/>
        <color theme="1"/>
        <rFont val="Arial"/>
        <family val="2"/>
      </rPr>
      <t>80.3 сая</t>
    </r>
    <r>
      <rPr>
        <sz val="11"/>
        <color theme="1"/>
        <rFont val="Arial"/>
        <family val="2"/>
      </rPr>
      <t xml:space="preserve"> төгрөг төсөвлөгдсөн. </t>
    </r>
  </si>
  <si>
    <t>Эмнэлгийн тоног төхөөрөмжийн мэргэжилтнүүдэд зориулсан зохион байгуулах сургалт</t>
  </si>
  <si>
    <t xml:space="preserve">Эмнэлгийн тоног төхөөрөмжтэй харьцан ажилладаг инженер,техникч, эмч сувилагч нарыг сургалтад хамруулснаар эмнэлгийн ашиглалт, аюулгүй ажиллагаа сайжирч, наслалт уртасна. </t>
  </si>
  <si>
    <t>Шинжээчийн сургалт</t>
  </si>
  <si>
    <t>Бүртгүүлэгч байгууллагуудад зориулсан сургалт</t>
  </si>
  <si>
    <t>Бүртгэлийн мэргэжилтнүүдийг чадавхжуулах гадаад, дотоод сургалт</t>
  </si>
  <si>
    <t xml:space="preserve">Эмийн зохистой хэрэглээний сургалт </t>
  </si>
  <si>
    <t>5.Програм хангамж</t>
  </si>
  <si>
    <t xml:space="preserve">Licemed мэдээний сангийн программ хангамж,  сайжруулалт </t>
  </si>
  <si>
    <t>1.1 Эмнэлгийн тоног төхөөрөмжид шалгалт тохируулга хийх симулятор, анализаторыг эрх бүхий хэмжилзүйн байгууллагаар баталгаажуулалт хийлгэх үйл ажиллагааны зардал</t>
  </si>
  <si>
    <t>Марк, модель</t>
  </si>
  <si>
    <t>нэгжийн үнэ</t>
  </si>
  <si>
    <t>тоо ширхэг</t>
  </si>
  <si>
    <t>$ USD</t>
  </si>
  <si>
    <t>USD</t>
  </si>
  <si>
    <t>MNT</t>
  </si>
  <si>
    <t>ProSim 8</t>
  </si>
  <si>
    <t>Өвчтөний мониторын симуляторын датчик</t>
  </si>
  <si>
    <t>Spot</t>
  </si>
  <si>
    <t>QA-ES II</t>
  </si>
  <si>
    <t>Дефибриляторын дагалдах анализатор</t>
  </si>
  <si>
    <t>IMPULSE 7000DP</t>
  </si>
  <si>
    <t>IMPULSE 7010</t>
  </si>
  <si>
    <t>ESA620</t>
  </si>
  <si>
    <t>INCU</t>
  </si>
  <si>
    <t>VT PLUS HF</t>
  </si>
  <si>
    <t>IDA-5</t>
  </si>
  <si>
    <t>190M-2</t>
  </si>
  <si>
    <t>TNT 12000D</t>
  </si>
  <si>
    <t>mAs Calibration for TNT 12000 WD meter</t>
  </si>
  <si>
    <t>TNT 12000WD</t>
  </si>
  <si>
    <t>Dose Calibration for TNT 12000 DoseMate</t>
  </si>
  <si>
    <t>TNT 12000 </t>
  </si>
  <si>
    <t>MAXO2+AE</t>
  </si>
  <si>
    <t xml:space="preserve">АТА Карней сертификат авах </t>
  </si>
  <si>
    <t>АТА Карней сертификат барьцаа</t>
  </si>
  <si>
    <t>Тээврийн зардал MGL-USA-MGL</t>
  </si>
  <si>
    <t>Гаалийн зардал</t>
  </si>
  <si>
    <t>Баглаж боох үйлчилгээ</t>
  </si>
  <si>
    <r>
      <rPr>
        <b/>
        <sz val="11"/>
        <color theme="1"/>
        <rFont val="Arial"/>
        <family val="2"/>
      </rPr>
      <t>Жич:</t>
    </r>
    <r>
      <rPr>
        <sz val="11"/>
        <color theme="1"/>
        <rFont val="Arial"/>
        <family val="2"/>
      </rPr>
      <t xml:space="preserve"> Монгол банкны 2018.07.05 өдрийн ханшаар 1$=2470₮ </t>
    </r>
  </si>
  <si>
    <t xml:space="preserve">АНУ-ын Cleveland хотоос 2017.05.28-ны өдөр ирүүлсэн үнийн саналаар тооцоолов. </t>
  </si>
  <si>
    <t>мөр</t>
  </si>
  <si>
    <t>Нийт мөр</t>
  </si>
  <si>
    <t>Орчуулгын хөлс</t>
  </si>
  <si>
    <t xml:space="preserve">Хяналтын хөлс </t>
  </si>
  <si>
    <t>IEC 60601-2-2 (ed5.0)b</t>
  </si>
  <si>
    <t>Particular requirements for the basic safety and essential performance of high frequency surgical equipment and high frequency surgical accessories</t>
  </si>
  <si>
    <t>Өндөр давтамжийн мэс заслын төхөөрөмж болон өндөр давтамжийн мэс заслын дагалдах хэрэгслийн  ерөнхий шаардлага ба аюулгүй ажиллагаанд тавигдах шаардлага</t>
  </si>
  <si>
    <t>IEC 60601-2-4 (ed3.0)b</t>
  </si>
  <si>
    <t>Particular requirements for the basic safety and essential performance of cardiac defibrillators</t>
  </si>
  <si>
    <t>Дефибриляторын ерөнхий шаардлага ба аюулгүй ажиллагаанд тавигдах шаардлага</t>
  </si>
  <si>
    <t>IEC 60601-2-21 (ed2.0)b</t>
  </si>
  <si>
    <t>Particular requirements for the basic safety and essential performance of Infant radiant warmers</t>
  </si>
  <si>
    <t>Нярайн дулаацуулах ширээний ерөнхий шаардлага ба аюулгүй ажиллагаанд тавигдах шаардлага</t>
  </si>
  <si>
    <t>IEC 60601-2-24 (ed2.0)b</t>
  </si>
  <si>
    <t>Particular requirements for the basic safety and essential performance of Infusion pumps and controllers</t>
  </si>
  <si>
    <t>Дуслын автомат шахуургын  ерөнхий шаардлага ба аюулгүй ажиллагаанд тавигдах шаардлага</t>
  </si>
  <si>
    <t>IEC 60601-2-27 (ed3.0)b</t>
  </si>
  <si>
    <t>Particular requirements for the basic safety and essential performance of electrocardiographic monitoring equipment</t>
  </si>
  <si>
    <t>Зүрхний цахилгаан бичлэгийн мониторын аппаратын ерөнхий шаардлага ба аюулгүй ажиллагаанд тавигдах шаардлага</t>
  </si>
  <si>
    <t>ISO 80601-2-12(ed1.0)en</t>
  </si>
  <si>
    <t>Particular requirements for the basic safety and essential performance of critical care ventilators</t>
  </si>
  <si>
    <t>Амьсгалын аппартын ерөнхий шаардлага ба аюулгүй ажиллагаанд тавигдах шаардлага</t>
  </si>
  <si>
    <t>ISO 80601-2-13(ed1.0)en</t>
  </si>
  <si>
    <t>Particular requirements for the basic safety and essential performance of anaesthetic workstation</t>
  </si>
  <si>
    <t>Унтуулгын аппаратын ерөнхий шаардлага ба аюулгүй ажиллагаанд тавигдах шаардлага</t>
  </si>
  <si>
    <t>1. 2 "Эмнэлгийн тоног төхөөрөмжид ерөнхий тавигдах шаардлага" олон улсын стандарт орчуулах болон хянуулах үйл ажиллагааны  зардал</t>
  </si>
  <si>
    <t>1.3 Монгол улсын эмийн бүртгэлийн гэрчилгээ хэвлүүлэх үйл ажиллагааны зардал</t>
  </si>
  <si>
    <t>Гэрчилгээ хэвлүүлэх</t>
  </si>
  <si>
    <t>1.4 Хүний эмийн зөвлөл, түүний салбар зөвлөл, ФХ-ны хурлын   үйл ажиллагааны зардал</t>
  </si>
  <si>
    <t>(51 хүн х 4цаг) x 12 удаа</t>
  </si>
  <si>
    <t>1.5 Шинжээч ажиллуулах үйл ажиллагааны зардал</t>
  </si>
  <si>
    <t>Шинэ үйлчлэгч бодис бүхий эмийн шинжээчийн ажлын хөлс</t>
  </si>
  <si>
    <t>ЕНЭ, эмийн түүхий эд, оношлуур, БИБ-ын  шинжээчийн ажлын хөлс</t>
  </si>
  <si>
    <t>1.6 Эмийн заавар баталгаажилт боловсруулах үйл ажиллагааны зардал</t>
  </si>
  <si>
    <t xml:space="preserve">Эмийн заавар баталгаажилт, ажлын хөлс </t>
  </si>
  <si>
    <t>1.7 "Эмийн мэдээлэл" сэтгүүл хэвлүүлэх үйл ажиллагааны зардал</t>
  </si>
  <si>
    <t>Эмийн мэдээлэл сэтгүүл       /2 дугаар/</t>
  </si>
  <si>
    <t>1.8 Үндэсний үйлдвэрийн 25 нэрийн эмэнд тандалт судалгаа хийх үйл ажиллагааны зардал</t>
  </si>
  <si>
    <t>Судалгааны мэдээлэл шалган хүлээн авах</t>
  </si>
  <si>
    <t>хуудас</t>
  </si>
  <si>
    <t>Мэдээлэл цуглуулах</t>
  </si>
  <si>
    <t xml:space="preserve"> хүн*өдөр</t>
  </si>
  <si>
    <t>4 хүн*10 өдөр</t>
  </si>
  <si>
    <t>Мэдээлэл нэгтгэх</t>
  </si>
  <si>
    <t>Мэдээллийг шивэх</t>
  </si>
  <si>
    <t>Судалгааны тайлан бичих</t>
  </si>
  <si>
    <t>Судалгааны тайланг хянах</t>
  </si>
  <si>
    <t>Судалгааг удирдан зохион байгуулах</t>
  </si>
  <si>
    <t>өдөр</t>
  </si>
  <si>
    <t>2.1. Эмнэлгийн тоног төхөөрөмжийн шалгалт баталгаажуулалт хийхэд                                                                                  нэн шаардлагатай симулятор, анализаторыг худалдан авах хөрөнгө оруулалтын зардал</t>
  </si>
  <si>
    <t xml:space="preserve">Нярайн инкубатор, дулаацуулагч ширээ шалгах анализатор        </t>
  </si>
  <si>
    <t>Өвчтөний хяналтын мониторын симулятор</t>
  </si>
  <si>
    <t>Ургийн симулятор</t>
  </si>
  <si>
    <t>Рентген хэмжилтийн систем</t>
  </si>
  <si>
    <t>3.1 Эмнэлгийн тоног төхөөрөмжид шалгалт баталгаажуулалт хийх үйлдвэрлэгчтэй уулзах гадаад  томилолтын зардал</t>
  </si>
  <si>
    <r>
      <t>Явах газар</t>
    </r>
    <r>
      <rPr>
        <sz val="12"/>
        <color theme="1"/>
        <rFont val="Arial"/>
        <family val="2"/>
      </rPr>
      <t>: АНУ</t>
    </r>
  </si>
  <si>
    <r>
      <t>Явах хугацаа</t>
    </r>
    <r>
      <rPr>
        <sz val="12"/>
        <color theme="1"/>
        <rFont val="Arial"/>
        <family val="2"/>
      </rPr>
      <t>: 5 хоног</t>
    </r>
  </si>
  <si>
    <r>
      <t>Хамрагдах хүний тоо</t>
    </r>
    <r>
      <rPr>
        <sz val="12"/>
        <color theme="1"/>
        <rFont val="Arial"/>
        <family val="2"/>
      </rPr>
      <t>: 2</t>
    </r>
  </si>
  <si>
    <t>Хэмжих 
нэгж</t>
  </si>
  <si>
    <t>Тоо 
хэмжээ</t>
  </si>
  <si>
    <t>Нийт үнэ
төгрөг</t>
  </si>
  <si>
    <t xml:space="preserve">ам доллар </t>
  </si>
  <si>
    <t>төгрөг</t>
  </si>
  <si>
    <t>Монгол, Улаанбаатар -  БНСУ-ын Инчон - АНУ-ын Сеттл</t>
  </si>
  <si>
    <t>онгоц 
2 талдаа</t>
  </si>
  <si>
    <t>2 хүн</t>
  </si>
  <si>
    <t>-</t>
  </si>
  <si>
    <t>АНУ дах орон нутгийн нислэг</t>
  </si>
  <si>
    <t xml:space="preserve">Зочид буудлын зардал </t>
  </si>
  <si>
    <t>АНУ-ын Вашингтон муж</t>
  </si>
  <si>
    <t>2 хүн*5 өдөр</t>
  </si>
  <si>
    <t>2*5</t>
  </si>
  <si>
    <t>Томилолтын зардал</t>
  </si>
  <si>
    <t>Гадаад томилолтын зам хоног</t>
  </si>
  <si>
    <t>Жич: 1 ам.доллар= 2,470.0 төгрөг</t>
  </si>
  <si>
    <t xml:space="preserve">Сургалтад 4 хүн хамрагдахаар тооцоолов. </t>
  </si>
  <si>
    <t>3.2 Аймгийн нэгдсэн эмнэлэг болон БОЭТ-ийн эмнэлгийн тоног төхөөрөмжид шалгалт баталгаажуулалт хийх ажлын дотоод томилолтын зардал</t>
  </si>
  <si>
    <t>Бензин</t>
  </si>
  <si>
    <t>100Км/20л</t>
  </si>
  <si>
    <t>12 * 5</t>
  </si>
  <si>
    <t>13 * 5</t>
  </si>
  <si>
    <t>* нэг талдаа 465 км</t>
  </si>
  <si>
    <t xml:space="preserve">* жолоочийн томилолтыг нэмж оруулсан. </t>
  </si>
  <si>
    <t>13* 5</t>
  </si>
  <si>
    <t>* нэг талдаа 1760 км</t>
  </si>
  <si>
    <t>14 * 5</t>
  </si>
  <si>
    <t>15 * 5</t>
  </si>
  <si>
    <t>* нэг талдаа 640 км</t>
  </si>
  <si>
    <t>14* 5</t>
  </si>
  <si>
    <t>* нэг талдаа 431 км</t>
  </si>
  <si>
    <t>5 * 5</t>
  </si>
  <si>
    <t xml:space="preserve"> 6 * 5</t>
  </si>
  <si>
    <t>* нэг талдаа 230 км</t>
  </si>
  <si>
    <t>16 * 5</t>
  </si>
  <si>
    <t xml:space="preserve"> 17 * 5</t>
  </si>
  <si>
    <t>* нэг талдаа 1005 км</t>
  </si>
  <si>
    <t>9 * 5</t>
  </si>
  <si>
    <t xml:space="preserve"> 10 * 5</t>
  </si>
  <si>
    <t>* нэг талдаа 219 км</t>
  </si>
  <si>
    <t xml:space="preserve"> 13 * 5</t>
  </si>
  <si>
    <t>* нэг талдаа 655 км</t>
  </si>
  <si>
    <t>10 * 5</t>
  </si>
  <si>
    <t>* нэг талдаа 456 км</t>
  </si>
  <si>
    <t>8 * 5</t>
  </si>
  <si>
    <t>* нэг талдаа 260 км</t>
  </si>
  <si>
    <t xml:space="preserve"> 9 * 5</t>
  </si>
  <si>
    <t>* нэг талдаа 1004 км</t>
  </si>
  <si>
    <t>* нэг талдаа 371 км</t>
  </si>
  <si>
    <t>21 * 5</t>
  </si>
  <si>
    <t xml:space="preserve"> 22 * 5</t>
  </si>
  <si>
    <t>* нэг талдаа 430 км</t>
  </si>
  <si>
    <t>11 * 5</t>
  </si>
  <si>
    <t xml:space="preserve"> 12 * 5</t>
  </si>
  <si>
    <t>* нэг талдаа 553 км</t>
  </si>
  <si>
    <t>* нэг талдаа 335 км</t>
  </si>
  <si>
    <t>* нэг талдаа 560 км</t>
  </si>
  <si>
    <t>6 * 5</t>
  </si>
  <si>
    <t xml:space="preserve"> 7 * 5</t>
  </si>
  <si>
    <t>* нэг талдаа 45 км</t>
  </si>
  <si>
    <t>* нэг талдаа 1336 км</t>
  </si>
  <si>
    <t>* нэг талдаа 1580 км</t>
  </si>
  <si>
    <t>* нэг талдаа 671 км</t>
  </si>
  <si>
    <t>* нэг талдаа 330 км</t>
  </si>
  <si>
    <t>22.Багануур дүүргийн эрүүл мэндийн төв</t>
  </si>
  <si>
    <t>* нэг талдаа 120 км</t>
  </si>
  <si>
    <t xml:space="preserve">Нийт зардал </t>
  </si>
  <si>
    <t>4.1.1 Эмнэлгийн тоног төхөөрөмжийн асуудал хариуцсан мэргэжилтнүүдийн хамрагдах дотоод сургалт</t>
  </si>
  <si>
    <r>
      <t>Сургалт явагдах газар</t>
    </r>
    <r>
      <rPr>
        <sz val="12"/>
        <color theme="1"/>
        <rFont val="Arial"/>
        <family val="2"/>
      </rPr>
      <t>: СХЗГ</t>
    </r>
  </si>
  <si>
    <r>
      <t>Сургалт явагдах хугацаа</t>
    </r>
    <r>
      <rPr>
        <sz val="12"/>
        <color theme="1"/>
        <rFont val="Arial"/>
        <family val="2"/>
      </rPr>
      <t>: 19 хоног</t>
    </r>
  </si>
  <si>
    <r>
      <t>Хамрагдах хүний тоо</t>
    </r>
    <r>
      <rPr>
        <sz val="12"/>
        <color theme="1"/>
        <rFont val="Arial"/>
        <family val="2"/>
      </rPr>
      <t>: 10</t>
    </r>
  </si>
  <si>
    <t>Төгрөг</t>
  </si>
  <si>
    <t>Лаборатори итгэмжлэл /дотоод аудит/ Лабораторийн итгэмжлэлд тавигдах шаардлага MNS ISO/IEC 17025 /модуль - 2/</t>
  </si>
  <si>
    <t xml:space="preserve">хүн </t>
  </si>
  <si>
    <t>Стандартчиллын суурь асуудал</t>
  </si>
  <si>
    <t>Эрсдлийн менежмент ISO 31000</t>
  </si>
  <si>
    <t>Лабораторийн итгэмжлэлд тавигдах шаардлага ISO/IEC 17025: Ур чадварын сорилтод тавих ерөнхий шаардлага ISO/IEC 17043 /Модуль-1/</t>
  </si>
  <si>
    <t>OHSAS 18001 Хөдөлмөрийн эрүүл мэнд аюулгүй ажиллагаа</t>
  </si>
  <si>
    <t>Лаборатори итгэмжлэл  (анхан шат) /Модуль-1/</t>
  </si>
  <si>
    <t>Стандартчиллын арга зүй</t>
  </si>
  <si>
    <t>Лаборатори итгэмжлэл /дотоод аудит/ /Модуль-2/</t>
  </si>
  <si>
    <t>Хэмжилзүйн суурь асуудал</t>
  </si>
  <si>
    <r>
      <t>4.1.2</t>
    </r>
    <r>
      <rPr>
        <b/>
        <sz val="7"/>
        <color theme="1"/>
        <rFont val="Times New Roman"/>
        <family val="1"/>
      </rPr>
      <t>   Эмнэлгийн тоног төхөөрөмжийн асуудал хариуцсан мэргэжилтнүүдийн хамрагдах гадаад сургалт</t>
    </r>
  </si>
  <si>
    <r>
      <t>Сургалт явагдах газар</t>
    </r>
    <r>
      <rPr>
        <sz val="12"/>
        <color theme="1"/>
        <rFont val="Arial"/>
        <family val="2"/>
      </rPr>
      <t>: АНУ</t>
    </r>
  </si>
  <si>
    <r>
      <t>Сургалт явагдах хугацаа</t>
    </r>
    <r>
      <rPr>
        <sz val="12"/>
        <color theme="1"/>
        <rFont val="Arial"/>
        <family val="2"/>
      </rPr>
      <t>: 10 хоног</t>
    </r>
  </si>
  <si>
    <t>4 хүн</t>
  </si>
  <si>
    <t xml:space="preserve">Сургалтын  зардал </t>
  </si>
  <si>
    <t>Эвэрит хот дах 10 хоногийн сургалт
- Дефибрилятор
- Коагуляци
- Инкубатор
- Хяналтын монитор
- Хийн урсгал хэмжигч
- Цахилгааны аюулгүй байдал
- Хүчилтөрөгчийн агууламж тодорхойлогч
- Шингэний шахуургын анализатор
Кливлэнд хот дах 2 хоногийн сургалт
- Рентген болон компьютер томографийн аппарат</t>
  </si>
  <si>
    <t>4 хүн*7 өдөр</t>
  </si>
  <si>
    <t>АНУ-ын Вашингтон мужийн Эверет хот
Кливлэнд хот</t>
  </si>
  <si>
    <t>4*10</t>
  </si>
  <si>
    <t>4.2 Эмнэлгийн тоног төхөөрөмжийн мэргэжилтнүүдэд зориулсан  сургалтын зардал</t>
  </si>
  <si>
    <r>
      <t xml:space="preserve">4.2.1. Эмнэлгийн тоног төхөөрөмжийн инженер, техникийн ажилтан нарт зориулсан “Засвар үйлчилгээний менежмент” сэдэвт </t>
    </r>
    <r>
      <rPr>
        <sz val="12"/>
        <color rgb="FF000000"/>
        <rFont val="Arial"/>
        <family val="2"/>
      </rPr>
      <t xml:space="preserve">сургалт </t>
    </r>
  </si>
  <si>
    <r>
      <t>Сургалт явагдах газар</t>
    </r>
    <r>
      <rPr>
        <sz val="12"/>
        <color theme="1"/>
        <rFont val="Arial"/>
        <family val="2"/>
      </rPr>
      <t>: Эрүүл мэндийн хөгжлийн төв</t>
    </r>
  </si>
  <si>
    <r>
      <t>Сургалт явагдах хугацаа</t>
    </r>
    <r>
      <rPr>
        <sz val="12"/>
        <color theme="1"/>
        <rFont val="Arial"/>
        <family val="2"/>
      </rPr>
      <t xml:space="preserve">:  3 хоног </t>
    </r>
  </si>
  <si>
    <r>
      <t>Хамрагдах хүний тоо</t>
    </r>
    <r>
      <rPr>
        <sz val="12"/>
        <color theme="1"/>
        <rFont val="Arial"/>
        <family val="2"/>
      </rPr>
      <t>: 100</t>
    </r>
  </si>
  <si>
    <t>Товолсон хугацаа: 2019 оны II улирал</t>
  </si>
  <si>
    <t>Зардлын төрөл</t>
  </si>
  <si>
    <t>Зарцуулалт</t>
  </si>
  <si>
    <t>Тоо</t>
  </si>
  <si>
    <t>Аймаг, орон нутгаас оролцогчдын замын зардал</t>
  </si>
  <si>
    <t>Хавсралт 1</t>
  </si>
  <si>
    <t>Оролцогчдын томилолтын зардал</t>
  </si>
  <si>
    <t>35,500 төг * 3 өдөр * 24 хүн</t>
  </si>
  <si>
    <t>Оролцогчдын цайны зардал</t>
  </si>
  <si>
    <t>100 хүн * 3 өдөр * 2 удаа</t>
  </si>
  <si>
    <t>Сургалтын бичиг хэргийн зардал</t>
  </si>
  <si>
    <t>100 хүн</t>
  </si>
  <si>
    <t>Сургалтын гэрчилгээ хэвлүүлэх</t>
  </si>
  <si>
    <t>100 ш</t>
  </si>
  <si>
    <t>Сургалтын материал олшруулах</t>
  </si>
  <si>
    <t>100 хүн * 50 нүүр</t>
  </si>
  <si>
    <t>Сургалтын баннер хэвлүүлэх</t>
  </si>
  <si>
    <t>4 х 3</t>
  </si>
  <si>
    <t>Зохион байгуулагч</t>
  </si>
  <si>
    <t>Өдөр</t>
  </si>
  <si>
    <t>Туслах ажилтны хөлс</t>
  </si>
  <si>
    <t>Бусад (үзэг, хавтас, дэвтэр, цаас, скоч г.м)</t>
  </si>
  <si>
    <r>
      <t xml:space="preserve">4.2.2 Эмч, эмнэлгийн мэргэжилтэнүүдэд зориулсан “Эмнэлгийн тоног төхөөрөмжийн ашиглалт, аюулгүй ажиллагаа” сэдэвт хэсэгчлэсэн </t>
    </r>
    <r>
      <rPr>
        <sz val="12"/>
        <color rgb="FF000000"/>
        <rFont val="Arial"/>
        <family val="2"/>
      </rPr>
      <t xml:space="preserve">сургалт </t>
    </r>
  </si>
  <si>
    <r>
      <t>Сургалт явагдах хугацаа</t>
    </r>
    <r>
      <rPr>
        <sz val="12"/>
        <color theme="1"/>
        <rFont val="Arial"/>
        <family val="2"/>
      </rPr>
      <t xml:space="preserve">:  10 хоног </t>
    </r>
  </si>
  <si>
    <r>
      <t>Хамрагдах хүний тоо</t>
    </r>
    <r>
      <rPr>
        <sz val="12"/>
        <color theme="1"/>
        <rFont val="Arial"/>
        <family val="2"/>
      </rPr>
      <t>: 250</t>
    </r>
  </si>
  <si>
    <t>Товолсон хугацаа: 2019 оны I- IV улирал</t>
  </si>
  <si>
    <t>Багшийн зардал /3 багш: 2 магистр, 1 доктор/</t>
  </si>
  <si>
    <t>цаг</t>
  </si>
  <si>
    <t>Цайны зардал</t>
  </si>
  <si>
    <t>Гэрчилгээний зардал</t>
  </si>
  <si>
    <t>2 хүн*өдөр</t>
  </si>
  <si>
    <t>Сургалтын гарын авлага /эмхэтгэл/</t>
  </si>
  <si>
    <t>Сургалтын гарын авлага /Эх бэлтгэл, хэвлэх/</t>
  </si>
  <si>
    <t xml:space="preserve">Сургалтын заал </t>
  </si>
  <si>
    <t xml:space="preserve">Сургалтын баннер </t>
  </si>
  <si>
    <t>Бичиг хэргийн зардал</t>
  </si>
  <si>
    <t xml:space="preserve">Бусад </t>
  </si>
  <si>
    <t>Ажил олгогчоос төлөх 11%</t>
  </si>
  <si>
    <t>4.3 Шинжээчийн сургалтын төсөв</t>
  </si>
  <si>
    <r>
      <t>Сургалт явагдах хугацаа</t>
    </r>
    <r>
      <rPr>
        <sz val="12"/>
        <color theme="1"/>
        <rFont val="Arial"/>
        <family val="2"/>
      </rPr>
      <t xml:space="preserve">:   1 хоног </t>
    </r>
  </si>
  <si>
    <r>
      <t>Хамрагдах хүний тоо</t>
    </r>
    <r>
      <rPr>
        <sz val="12"/>
        <color theme="1"/>
        <rFont val="Arial"/>
        <family val="2"/>
      </rPr>
      <t>: 50</t>
    </r>
  </si>
  <si>
    <t>Багшийн зардал</t>
  </si>
  <si>
    <t>4хүн*цаг</t>
  </si>
  <si>
    <t>50хүн *1 өдөр * 2 удаа</t>
  </si>
  <si>
    <t>Оролцогчдын хоолны зардал</t>
  </si>
  <si>
    <t>50хүн *1 өдөр * 1 удаа</t>
  </si>
  <si>
    <t>50 хүн</t>
  </si>
  <si>
    <t>4.4 Бүртгэлийн байгууллагад зориулсан  сургалтын зардал</t>
  </si>
  <si>
    <t>100хүн *1 өдөр * 2 удаа</t>
  </si>
  <si>
    <t>100хүн *1 өдөр * 1 удаа</t>
  </si>
  <si>
    <t>10 хүн</t>
  </si>
  <si>
    <t>4.5 Бүртгэлийн мэргэжилтнүүдийг чадавхжуулах гадаад сургалт</t>
  </si>
  <si>
    <r>
      <t>Сургалт явагдах газар</t>
    </r>
    <r>
      <rPr>
        <sz val="11"/>
        <color theme="1"/>
        <rFont val="Arial"/>
        <family val="2"/>
      </rPr>
      <t xml:space="preserve">: Япон </t>
    </r>
  </si>
  <si>
    <r>
      <t>Сургалт явагдах хугацаа</t>
    </r>
    <r>
      <rPr>
        <sz val="11"/>
        <color theme="1"/>
        <rFont val="Arial"/>
        <family val="2"/>
      </rPr>
      <t>: 15 хоног</t>
    </r>
  </si>
  <si>
    <r>
      <t>Хамрагдах хүний тоо</t>
    </r>
    <r>
      <rPr>
        <sz val="11"/>
        <color theme="1"/>
        <rFont val="Arial"/>
        <family val="2"/>
      </rPr>
      <t>: 2</t>
    </r>
  </si>
  <si>
    <t>Нийт үнэ /төгрөг/</t>
  </si>
  <si>
    <t>Сургалтын төлбөр</t>
  </si>
  <si>
    <t>2 талдаа</t>
  </si>
  <si>
    <t>Зочид буудлын зардал</t>
  </si>
  <si>
    <t>хүн/хоног</t>
  </si>
  <si>
    <t>Зам хоног  /хоол/</t>
  </si>
  <si>
    <t>4.6 Эмийн зохистой хэрэглээний  сургалтын зардал</t>
  </si>
  <si>
    <r>
      <t xml:space="preserve">1. Эм зүйч, эм найруулагч эрүүл мэндийн байгууллагын ажилтануудад зориулсан “Антибиотик эмийн зохистой хэрэглээ”  сэдэвт </t>
    </r>
    <r>
      <rPr>
        <sz val="12"/>
        <color rgb="FF000000"/>
        <rFont val="Arial"/>
        <family val="2"/>
      </rPr>
      <t>сургалт зохион байгуулах ажлын төсөв.</t>
    </r>
  </si>
  <si>
    <r>
      <t>Хамрагдах хүний тоо</t>
    </r>
    <r>
      <rPr>
        <sz val="12"/>
        <color theme="1"/>
        <rFont val="Arial"/>
        <family val="2"/>
      </rPr>
      <t>: 80</t>
    </r>
  </si>
  <si>
    <t>Товолсон хугацаа: 2018 оны II улирал</t>
  </si>
  <si>
    <t>Багшийн зардал /2 багш: 1 магистр, 1 доктор/</t>
  </si>
  <si>
    <r>
      <t xml:space="preserve">2. Эм зүйч, эм найруулагч эрүүл мэндийн байгууллагын ажилтануудад зориулсан “Эмийн аюулгүй байдал, гаж нөлөө”  сэдэвт </t>
    </r>
    <r>
      <rPr>
        <sz val="12"/>
        <color rgb="FF000000"/>
        <rFont val="Arial"/>
        <family val="2"/>
      </rPr>
      <t>сургалт зохион байгуулах ажлын төсөв.</t>
    </r>
  </si>
  <si>
    <t>Товолсон хугацаа: 2018 оны III улирал</t>
  </si>
  <si>
    <t>ЭРҮҮЛ МЭНДИЙН ХӨГЖЛИЙН ТӨВ</t>
  </si>
  <si>
    <t>ЭДИЙН ЗАСГИЙН АНГИЛАЛ</t>
  </si>
  <si>
    <t>2018 он</t>
  </si>
  <si>
    <t>2019 он</t>
  </si>
  <si>
    <t xml:space="preserve">                 НИЙТ ЗАРЛАГА ба ЦЭВЭР ЗЭЭЛИЙН ДЇН</t>
  </si>
  <si>
    <t xml:space="preserve">                      УРСГАЛ ЗАРДАЛ</t>
  </si>
  <si>
    <t xml:space="preserve">                           БАРАА, ЇЙЛЧИЛГЭЭНИЙ ЗАРДАЛ</t>
  </si>
  <si>
    <t xml:space="preserve">                                Цалин, хєлс болон нэмэгдэл урамшил</t>
  </si>
  <si>
    <t xml:space="preserve">                                          Їндсэн цалин</t>
  </si>
  <si>
    <t xml:space="preserve">                                          Нэмэгдэл</t>
  </si>
  <si>
    <t xml:space="preserve">                                          Унаа хоолны Хєнгєлєлт</t>
  </si>
  <si>
    <t xml:space="preserve">                                Ажил олгогчоос нийгмийн даатгалд тєлєх шимтгэл</t>
  </si>
  <si>
    <t xml:space="preserve">                                          Тэтгэврийн даатгал</t>
  </si>
  <si>
    <t xml:space="preserve">                                          Тэтгэмжийн даатгал</t>
  </si>
  <si>
    <t xml:space="preserve">                                          ЇОМШ-ний даатгал</t>
  </si>
  <si>
    <t xml:space="preserve">                                          Ажилгїйдлийн даатгал</t>
  </si>
  <si>
    <t xml:space="preserve">                                          Эрїїл мэндийн даатгал</t>
  </si>
  <si>
    <t xml:space="preserve">                                Байр ашиглалттай холбоотой тогтмол зардал</t>
  </si>
  <si>
    <t xml:space="preserve">                                          Гэрэл, цахилгаан</t>
  </si>
  <si>
    <t xml:space="preserve">                                          Тїлш, халаалт</t>
  </si>
  <si>
    <t xml:space="preserve">                                          Цэвэр, бохир ус</t>
  </si>
  <si>
    <t xml:space="preserve">                                Хангамж, бараа материалын зардал</t>
  </si>
  <si>
    <t xml:space="preserve">                                          Бичиг хэрэг</t>
  </si>
  <si>
    <t xml:space="preserve">                                          Тээвэр, шатахуун</t>
  </si>
  <si>
    <t xml:space="preserve">                                          Шуудан, холбоо, интернэтийн тєлбєр</t>
  </si>
  <si>
    <t xml:space="preserve">                                          Хог хаягдал зайлуулах, хортон мэрэгчдийн устгал, ариутгал</t>
  </si>
  <si>
    <t xml:space="preserve">                                          Бага їнэтэй, тїргэн элэгдэх, ахуйн эд зїйлс</t>
  </si>
  <si>
    <t xml:space="preserve">                                Нормативт зардал</t>
  </si>
  <si>
    <t xml:space="preserve">                                          Нормын хувцас, зєєлєн эдлэл</t>
  </si>
  <si>
    <t xml:space="preserve">                                Эд хогшил, урсгал засварын зардал</t>
  </si>
  <si>
    <t xml:space="preserve">                                          Багаж, техник, хэрэгсэл</t>
  </si>
  <si>
    <t xml:space="preserve">                                          Урсгал засвар</t>
  </si>
  <si>
    <t xml:space="preserve">                                Томилолт, зочны зардал</t>
  </si>
  <si>
    <t xml:space="preserve">                                          Дотоод албан томилолт</t>
  </si>
  <si>
    <t xml:space="preserve">                                Бусдаар гїйцэтгїїлсэн ажил, їйлчилгээний тєлбєр, хураамж</t>
  </si>
  <si>
    <t xml:space="preserve">                                          Бусдаар гїйцэтгїїлсэн бусад нийтлэг ажил, їйлчилгээний тєлбєр, хураамж</t>
  </si>
  <si>
    <t xml:space="preserve">                                          Даатгалын їйлчилгээ</t>
  </si>
  <si>
    <t xml:space="preserve">                                          Тээврийн хэрэгслийн татвар</t>
  </si>
  <si>
    <t xml:space="preserve">                                          Тээврийн хэрэгслийн оношлогоо</t>
  </si>
  <si>
    <t xml:space="preserve">                                          Мэдээллийн технологийн їйлчилгээ</t>
  </si>
  <si>
    <t xml:space="preserve">                                          Газрын тєлбєр</t>
  </si>
  <si>
    <t xml:space="preserve">                                          Улсын мэдээллийн маягт хэвлэх, бэлтгэх</t>
  </si>
  <si>
    <t xml:space="preserve">                                Бараа їйлчилгээний бусад зардал</t>
  </si>
  <si>
    <t xml:space="preserve">                                          Бараа їйлчилгээний бусад зардал</t>
  </si>
  <si>
    <t xml:space="preserve">                                          Хичээл їйлдвэрлэлийн дадлага хийх</t>
  </si>
  <si>
    <t xml:space="preserve">                           УРСГАЛ ШИЛЖЇЇЛЭГ</t>
  </si>
  <si>
    <t xml:space="preserve">                                Бусад урсгал шилжїїлэг</t>
  </si>
  <si>
    <t xml:space="preserve">                                          Бусад Ажил олгогчоос олгох бусад тэтгэмж, урамшуулал</t>
  </si>
  <si>
    <t xml:space="preserve">                                          Нэг удаагийн тэтгэмж, шагнал урамшуулал</t>
  </si>
  <si>
    <t xml:space="preserve">                 ЗАРДЛЫГ САНХЇЇЖЇЇЛЭХ ЭХ ЇЇСВЭР</t>
  </si>
  <si>
    <t xml:space="preserve">                      Улсын тєсвєєс санхїїжих</t>
  </si>
  <si>
    <t xml:space="preserve">                                          Улсын тєсвєєс санхїїжих</t>
  </si>
  <si>
    <t xml:space="preserve">                      Тєсєвт байгууллагын їйл ажиллагаанаас</t>
  </si>
  <si>
    <t xml:space="preserve">                                          Їндсэн їйл ажиллагааны орлогоос санхїїжих</t>
  </si>
  <si>
    <t xml:space="preserve">                                          Туслах їйл ажиллагааны орлогоос санхїїжих</t>
  </si>
  <si>
    <t xml:space="preserve">                 ТЄСВИЙН БУСАД МЭДЭЭЛЛИЙН АНГИЛАЛ</t>
  </si>
  <si>
    <t xml:space="preserve">                      БАЙГУУЛЛАГЫН ТОО</t>
  </si>
  <si>
    <t xml:space="preserve">                                          Тєсвийн байгууллага</t>
  </si>
  <si>
    <t xml:space="preserve">                      АЖИЛЛАГСДЫН ТОО</t>
  </si>
  <si>
    <t xml:space="preserve">                                          Удирдах ажилтан</t>
  </si>
  <si>
    <t xml:space="preserve">                                          Гїйцэтгэх ажилтан</t>
  </si>
  <si>
    <t xml:space="preserve">                                          Їйлчлэх ажилтан</t>
  </si>
  <si>
    <t xml:space="preserve">                      ОРОН ТООНЫ МЭДЭЭЛЭЛ</t>
  </si>
  <si>
    <t xml:space="preserve">                                          Тєрийн захиргааны албан хаагч (ТЗ)</t>
  </si>
  <si>
    <t xml:space="preserve">                                          Эрїїл мэндийн салбарын тєрийн їйлчилгээний албан хаагч (ТЇЭМ)</t>
  </si>
  <si>
    <t xml:space="preserve">                                          Тєрийн їйлчилгээний бусад албан хаагч (ТЇ)</t>
  </si>
  <si>
    <t>Төсвийн зарлагын 2018 оны хуваарилалт</t>
  </si>
  <si>
    <t>2018.06.06 09:02:10 PM</t>
  </si>
  <si>
    <t>2018 Хуваарь 6 сар</t>
  </si>
  <si>
    <t>5 сар</t>
  </si>
  <si>
    <t>6 сар</t>
  </si>
  <si>
    <t>7 сар</t>
  </si>
  <si>
    <t>10 сар</t>
  </si>
  <si>
    <t>13</t>
  </si>
  <si>
    <t>Зөрүү</t>
  </si>
  <si>
    <t>prep69</t>
  </si>
  <si>
    <t>allo1</t>
  </si>
  <si>
    <t>allo2</t>
  </si>
  <si>
    <t>allo3</t>
  </si>
  <si>
    <t>allo4</t>
  </si>
  <si>
    <t>allo5</t>
  </si>
  <si>
    <t>allo6</t>
  </si>
  <si>
    <t>allo7</t>
  </si>
  <si>
    <t>allo8</t>
  </si>
  <si>
    <t>allo9</t>
  </si>
  <si>
    <t>allo10</t>
  </si>
  <si>
    <t>allo11</t>
  </si>
  <si>
    <t>allo12</t>
  </si>
  <si>
    <t>allo13</t>
  </si>
  <si>
    <t>allo_err</t>
  </si>
  <si>
    <t>2018-05-30</t>
  </si>
  <si>
    <t>min_code</t>
  </si>
  <si>
    <t>org_code</t>
  </si>
  <si>
    <t>eco_code</t>
  </si>
  <si>
    <t>eco_coden</t>
  </si>
  <si>
    <t>org_coden</t>
  </si>
  <si>
    <t>org_code3</t>
  </si>
  <si>
    <t>min_name</t>
  </si>
  <si>
    <t>org_name</t>
  </si>
  <si>
    <t>eco_name</t>
  </si>
  <si>
    <t>TOTAL</t>
  </si>
  <si>
    <t/>
  </si>
  <si>
    <t xml:space="preserve">                 TOTAL EXPENDITURE  AND NET LENDING</t>
  </si>
  <si>
    <t>2</t>
  </si>
  <si>
    <t>НИЙТ ЗАРЛАГА ба ЦЭВЭР ЗЭЭЛИЙН ДЇН</t>
  </si>
  <si>
    <t xml:space="preserve">                      CURRENT EXPENDITURE</t>
  </si>
  <si>
    <t>21</t>
  </si>
  <si>
    <t>УРСГАЛ ЗАРДАЛ</t>
  </si>
  <si>
    <t xml:space="preserve">                           GOODS AND SERVICES EXPENDITURES</t>
  </si>
  <si>
    <t>210</t>
  </si>
  <si>
    <t>БАРАА, ЇЙЛЧИЛГЭЭНИЙ ЗАРДАЛ</t>
  </si>
  <si>
    <t xml:space="preserve">                                Wages and salaries, bonuses</t>
  </si>
  <si>
    <t>2101</t>
  </si>
  <si>
    <t>Цалин, хєлс болон нэмэгдэл урамшил</t>
  </si>
  <si>
    <t xml:space="preserve">                                          Base Salary</t>
  </si>
  <si>
    <t>1301010100</t>
  </si>
  <si>
    <t>210101</t>
  </si>
  <si>
    <t>Їндсэн цалин</t>
  </si>
  <si>
    <t xml:space="preserve">                                          Pay supplement</t>
  </si>
  <si>
    <t>1301010200</t>
  </si>
  <si>
    <t>210102</t>
  </si>
  <si>
    <t xml:space="preserve">                                          Travel and meal allowance</t>
  </si>
  <si>
    <t>1301010500</t>
  </si>
  <si>
    <t>210103</t>
  </si>
  <si>
    <t>Унаа хоолны Хєнгєлєлт</t>
  </si>
  <si>
    <t xml:space="preserve">                                Social insurance contributions paid by employers</t>
  </si>
  <si>
    <t>2102</t>
  </si>
  <si>
    <t>Ажил олгогчоос нийгмийн даатгалд тєлєх шимтгэл</t>
  </si>
  <si>
    <t xml:space="preserve">                                          Pension insurance</t>
  </si>
  <si>
    <t>1301020101</t>
  </si>
  <si>
    <t>210201</t>
  </si>
  <si>
    <t>Тэтгэврийн даатгал</t>
  </si>
  <si>
    <t xml:space="preserve">                                          Benefit insurance</t>
  </si>
  <si>
    <t>1301020102</t>
  </si>
  <si>
    <t>210202</t>
  </si>
  <si>
    <t>Тэтгэмжийн даатгал</t>
  </si>
  <si>
    <t xml:space="preserve">                                          Workplace injuries and occupational disease insurance</t>
  </si>
  <si>
    <t>1301020103</t>
  </si>
  <si>
    <t>210203</t>
  </si>
  <si>
    <t>ЇОМШ-ний даатгал</t>
  </si>
  <si>
    <t xml:space="preserve">                                          Unemployment insurance</t>
  </si>
  <si>
    <t>1301020104</t>
  </si>
  <si>
    <t>210204</t>
  </si>
  <si>
    <t>Ажилгїйдлийн даатгал</t>
  </si>
  <si>
    <t xml:space="preserve">                                          Health insurance</t>
  </si>
  <si>
    <t>1301020201</t>
  </si>
  <si>
    <t>210205</t>
  </si>
  <si>
    <t>Эрїїл мэндийн даатгал</t>
  </si>
  <si>
    <t xml:space="preserve">                                Fixed expenses related to office building</t>
  </si>
  <si>
    <t>2103</t>
  </si>
  <si>
    <t>Байр ашиглалттай холбоотой тогтмол зардал</t>
  </si>
  <si>
    <t xml:space="preserve">                                          Electricity</t>
  </si>
  <si>
    <t>1301030200</t>
  </si>
  <si>
    <t>210301</t>
  </si>
  <si>
    <t>Гэрэл, цахилгаан</t>
  </si>
  <si>
    <t xml:space="preserve">                                          Heating</t>
  </si>
  <si>
    <t>1301030300</t>
  </si>
  <si>
    <t>210302</t>
  </si>
  <si>
    <t>Тїлш, халаалт</t>
  </si>
  <si>
    <t xml:space="preserve">                                          Clean water sewerage</t>
  </si>
  <si>
    <t>1301030600</t>
  </si>
  <si>
    <t>210303</t>
  </si>
  <si>
    <t>Цэвэр, бохир ус</t>
  </si>
  <si>
    <t xml:space="preserve">                                Office supplies and inventory</t>
  </si>
  <si>
    <t>2104</t>
  </si>
  <si>
    <t>Хангамж, бараа материалын зардал</t>
  </si>
  <si>
    <t xml:space="preserve">                                          Stationery</t>
  </si>
  <si>
    <t>1301030100</t>
  </si>
  <si>
    <t>210401</t>
  </si>
  <si>
    <t xml:space="preserve">                                          Transportation, fuel</t>
  </si>
  <si>
    <t>1301030400</t>
  </si>
  <si>
    <t>210402</t>
  </si>
  <si>
    <t>Тээвэр, шатахуун</t>
  </si>
  <si>
    <t xml:space="preserve">                                          Postal, telecommunication and internet connection expenses</t>
  </si>
  <si>
    <t>1301030500</t>
  </si>
  <si>
    <t>210403</t>
  </si>
  <si>
    <t>Шуудан, холбоо, интернэтийн тєлбєр</t>
  </si>
  <si>
    <t xml:space="preserve">                                          Garbage removal, disinfection</t>
  </si>
  <si>
    <t>1301033201</t>
  </si>
  <si>
    <t>210405</t>
  </si>
  <si>
    <t>Хог хаягдал зайлуулах, хортон мэрэгчдийн устгал, ариутгал</t>
  </si>
  <si>
    <t xml:space="preserve">                                          Inventory of low cost, non durable goods</t>
  </si>
  <si>
    <t>1301031204</t>
  </si>
  <si>
    <t>210406</t>
  </si>
  <si>
    <t>Бага їнэтэй, тїргэн элэгдэх, ахуйн эд зїйлс</t>
  </si>
  <si>
    <t xml:space="preserve">                                Standard cost</t>
  </si>
  <si>
    <t>2105</t>
  </si>
  <si>
    <t>Нормативт зардал</t>
  </si>
  <si>
    <t xml:space="preserve">                                          Clothing and bedding</t>
  </si>
  <si>
    <t>1301031300</t>
  </si>
  <si>
    <t>210503</t>
  </si>
  <si>
    <t>Нормын хувцас, зєєлєн эдлэл</t>
  </si>
  <si>
    <t xml:space="preserve">                                Furniture, current repair expenses</t>
  </si>
  <si>
    <t>2106</t>
  </si>
  <si>
    <t>Эд хогшил, урсгал засварын зардал</t>
  </si>
  <si>
    <t xml:space="preserve">                                          Purchase of tools and appliances</t>
  </si>
  <si>
    <t>1301031201</t>
  </si>
  <si>
    <t>210601</t>
  </si>
  <si>
    <t xml:space="preserve">                                          Renovation expenses</t>
  </si>
  <si>
    <t>1301031600</t>
  </si>
  <si>
    <t>210604</t>
  </si>
  <si>
    <t>Урсгал засвар</t>
  </si>
  <si>
    <t xml:space="preserve">                                Travel and guest expenses</t>
  </si>
  <si>
    <t>2107</t>
  </si>
  <si>
    <t>Томилолт, зочны зардал</t>
  </si>
  <si>
    <t xml:space="preserve">                                          Domestic trip expenses</t>
  </si>
  <si>
    <t>1301030700</t>
  </si>
  <si>
    <t>210702</t>
  </si>
  <si>
    <t>Дотоод албан томилолт</t>
  </si>
  <si>
    <t xml:space="preserve">                                Work, service payment, fee performed by others</t>
  </si>
  <si>
    <t>2108</t>
  </si>
  <si>
    <t>Бусдаар гїйцэтгїїлсэн ажил, їйлчилгээний тєлбєр, хураамж</t>
  </si>
  <si>
    <t xml:space="preserve">                                          Other common payments for contracted out of services and works</t>
  </si>
  <si>
    <t>1301039618</t>
  </si>
  <si>
    <t>210801</t>
  </si>
  <si>
    <t>Бусдаар гїйцэтгїїлсэн бусад нийтлэг ажил, їйлчилгээний тєлбєр, хураамж</t>
  </si>
  <si>
    <t xml:space="preserve">                                          Insurance service</t>
  </si>
  <si>
    <t>1301039623</t>
  </si>
  <si>
    <t>210803</t>
  </si>
  <si>
    <t>Даатгалын їйлчилгээ</t>
  </si>
  <si>
    <t xml:space="preserve">                                          Vehicle tax</t>
  </si>
  <si>
    <t>1303096100</t>
  </si>
  <si>
    <t>210804</t>
  </si>
  <si>
    <t xml:space="preserve">                                          Vehicle inspection</t>
  </si>
  <si>
    <t>1301039641</t>
  </si>
  <si>
    <t>210805</t>
  </si>
  <si>
    <t xml:space="preserve">                                          Information Technology service</t>
  </si>
  <si>
    <t>1301039607</t>
  </si>
  <si>
    <t>210806</t>
  </si>
  <si>
    <t>Мэдээллийн технологийн їйлчилгээ</t>
  </si>
  <si>
    <t xml:space="preserve">                                          Land fee</t>
  </si>
  <si>
    <t>1303096000</t>
  </si>
  <si>
    <t>210807</t>
  </si>
  <si>
    <t>Газрын тєлбєр</t>
  </si>
  <si>
    <t xml:space="preserve">                                          Printing of state forms</t>
  </si>
  <si>
    <t>1301039700</t>
  </si>
  <si>
    <t>210809</t>
  </si>
  <si>
    <t>Улсын мэдээллийн маягт хэвлэх, бэлтгэх</t>
  </si>
  <si>
    <t xml:space="preserve">                                Purchase of other goods and services</t>
  </si>
  <si>
    <t>2109</t>
  </si>
  <si>
    <t>Бараа їйлчилгээний бусад зардал</t>
  </si>
  <si>
    <t xml:space="preserve">                                          Other Goods and services expenditures</t>
  </si>
  <si>
    <t>1301039701</t>
  </si>
  <si>
    <t>210901</t>
  </si>
  <si>
    <t xml:space="preserve">                                          Expenses on training and practice</t>
  </si>
  <si>
    <t>1301031000</t>
  </si>
  <si>
    <t>210902</t>
  </si>
  <si>
    <t>Хичээл їйлдвэрлэлийн дадлага хийх</t>
  </si>
  <si>
    <t xml:space="preserve">                           CURRENT TRANSFER</t>
  </si>
  <si>
    <t>213</t>
  </si>
  <si>
    <t>УРСГАЛ ШИЛЖЇЇЛЭГ</t>
  </si>
  <si>
    <t xml:space="preserve">                                Other current transfers</t>
  </si>
  <si>
    <t>2132</t>
  </si>
  <si>
    <t>Бусад урсгал шилжїїлэг</t>
  </si>
  <si>
    <t xml:space="preserve">                                          Other bonus and benefits by employers</t>
  </si>
  <si>
    <t>1303041116</t>
  </si>
  <si>
    <t>213204</t>
  </si>
  <si>
    <t>Бусад Ажил олгогчоос олгох бусад тэтгэмж, урамшуулал</t>
  </si>
  <si>
    <t xml:space="preserve">                                          One off benefit, allowance, bonus</t>
  </si>
  <si>
    <t>1303041108</t>
  </si>
  <si>
    <t>213209</t>
  </si>
  <si>
    <t>Нэг удаагийн тэтгэмж, шагнал урамшуулал</t>
  </si>
  <si>
    <t xml:space="preserve">                 FINANCING SOURCES</t>
  </si>
  <si>
    <t>3</t>
  </si>
  <si>
    <t>ЗАРДЛЫГ САНХЇЇЖЇЇЛЭХ ЭХ ЇЇСВЭР</t>
  </si>
  <si>
    <t xml:space="preserve">                      Financed from state budget</t>
  </si>
  <si>
    <t>31</t>
  </si>
  <si>
    <t>Улсын тєсвєєс санхїїжих</t>
  </si>
  <si>
    <t xml:space="preserve">                                          Financed from state budget</t>
  </si>
  <si>
    <t>6099000000</t>
  </si>
  <si>
    <t>310001</t>
  </si>
  <si>
    <t xml:space="preserve">                      Financed by budgetary entity</t>
  </si>
  <si>
    <t>35</t>
  </si>
  <si>
    <t>Тєсєвт байгууллагын їйл ажиллагаанаас</t>
  </si>
  <si>
    <t xml:space="preserve">                                          Financed from operating income (core operations)</t>
  </si>
  <si>
    <t>6006000000</t>
  </si>
  <si>
    <t>350001</t>
  </si>
  <si>
    <t>Їндсэн їйл ажиллагааны орлогоос санхїїжих</t>
  </si>
  <si>
    <t xml:space="preserve">                                          Financed from operations income (auxiliary operations)</t>
  </si>
  <si>
    <t>6007000000</t>
  </si>
  <si>
    <t>350002</t>
  </si>
  <si>
    <t>Туслах їйл ажиллагааны орлогоос санхїїжих</t>
  </si>
  <si>
    <t xml:space="preserve">                 OTHER BUDGET INFORMATION</t>
  </si>
  <si>
    <t>4</t>
  </si>
  <si>
    <t>ТЄСВИЙН БУСАД МЭДЭЭЛЛИЙН АНГИЛАЛ</t>
  </si>
  <si>
    <t xml:space="preserve">                      NUMBER OF ENTITIES</t>
  </si>
  <si>
    <t>41</t>
  </si>
  <si>
    <t>БАЙГУУЛЛАГЫН ТОО</t>
  </si>
  <si>
    <t xml:space="preserve">                                          Budget entity</t>
  </si>
  <si>
    <t>8001000000</t>
  </si>
  <si>
    <t>410001</t>
  </si>
  <si>
    <t>Тєсвийн байгууллага</t>
  </si>
  <si>
    <t xml:space="preserve">                      NUMBER OF STAFF</t>
  </si>
  <si>
    <t>42</t>
  </si>
  <si>
    <t>АЖИЛЛАГСДЫН ТОО</t>
  </si>
  <si>
    <t xml:space="preserve">                                          Management staff</t>
  </si>
  <si>
    <t>9001000000</t>
  </si>
  <si>
    <t>420001</t>
  </si>
  <si>
    <t>Удирдах ажилтан</t>
  </si>
  <si>
    <t xml:space="preserve">                                          Executive staff</t>
  </si>
  <si>
    <t>9002000000</t>
  </si>
  <si>
    <t>420002</t>
  </si>
  <si>
    <t>Гїйцэтгэх ажилтан</t>
  </si>
  <si>
    <t xml:space="preserve">                                          Service staff</t>
  </si>
  <si>
    <t>9003000000</t>
  </si>
  <si>
    <t>420003</t>
  </si>
  <si>
    <t>Їйлчлэх ажилтан</t>
  </si>
  <si>
    <t xml:space="preserve">                      PERSONNEL INFORMATION</t>
  </si>
  <si>
    <t>45</t>
  </si>
  <si>
    <t>ОРОН ТООНЫ МЭДЭЭЛЭЛ</t>
  </si>
  <si>
    <t xml:space="preserve">                                          Civil servants - Public administration (ТЗ)</t>
  </si>
  <si>
    <t>9101000000</t>
  </si>
  <si>
    <t>450001</t>
  </si>
  <si>
    <t>Тєрийн захиргааны албан хаагч (ТЗ)</t>
  </si>
  <si>
    <t xml:space="preserve">                                          Civil servants - Public service for health sector (ТЇЭМ)</t>
  </si>
  <si>
    <t>9108000000</t>
  </si>
  <si>
    <t>450008</t>
  </si>
  <si>
    <t>Эрїїл мэндийн салбарын тєрийн їйлчилгээний албан хаагч (ТЇЭМ)</t>
  </si>
  <si>
    <t xml:space="preserve">                                          Civil servants - Public service for other (ТЇ)</t>
  </si>
  <si>
    <t>9109000000</t>
  </si>
  <si>
    <t>450009</t>
  </si>
  <si>
    <t>Тєрийн їйлчилгээний бусад албан хаагч (ТЇ)</t>
  </si>
  <si>
    <t xml:space="preserve">      ЭРЇЇЛ МЭНДИЙН САЙД</t>
  </si>
  <si>
    <t xml:space="preserve">      MINISTER OF HEALTH</t>
  </si>
  <si>
    <t>14</t>
  </si>
  <si>
    <t>ЭРЇЇЛ МЭНДИЙН САЙД</t>
  </si>
  <si>
    <t xml:space="preserve">                       НИЙТ ЗАРЛАГА ба ЦЭВЭР ЗЭЭЛИЙН ДЇН</t>
  </si>
  <si>
    <t xml:space="preserve">                       TOTAL EXPENDITURE  AND NET LENDING</t>
  </si>
  <si>
    <t xml:space="preserve">                            УРСГАЛ ЗАРДАЛ</t>
  </si>
  <si>
    <t xml:space="preserve">                            CURRENT EXPENDITURE</t>
  </si>
  <si>
    <t xml:space="preserve">                                 БАРАА, ЇЙЛЧИЛГЭЭНИЙ ЗАРДАЛ</t>
  </si>
  <si>
    <t xml:space="preserve">                                 GOODS AND SERVICES EXPENDITURES</t>
  </si>
  <si>
    <t xml:space="preserve">                                      Цалин, хєлс болон нэмэгдэл урамшил</t>
  </si>
  <si>
    <t xml:space="preserve">                                      Wages and salaries, bonuses</t>
  </si>
  <si>
    <t xml:space="preserve">                                                Їндсэн цалин</t>
  </si>
  <si>
    <t xml:space="preserve">                                                Base Salary</t>
  </si>
  <si>
    <t xml:space="preserve">                                                Нэмэгдэл</t>
  </si>
  <si>
    <t xml:space="preserve">                                                Pay supplement</t>
  </si>
  <si>
    <t xml:space="preserve">                                                Унаа хоолны Хєнгєлєлт</t>
  </si>
  <si>
    <t xml:space="preserve">                                                Travel and meal allowance</t>
  </si>
  <si>
    <t xml:space="preserve">                                      Ажил олгогчоос нийгмийн даатгалд тєлєх шимтгэл</t>
  </si>
  <si>
    <t xml:space="preserve">                                      Social insurance contributions paid by employers</t>
  </si>
  <si>
    <t xml:space="preserve">                                                Тэтгэврийн даатгал</t>
  </si>
  <si>
    <t xml:space="preserve">                                                Pension insurance</t>
  </si>
  <si>
    <t xml:space="preserve">                                                Тэтгэмжийн даатгал</t>
  </si>
  <si>
    <t xml:space="preserve">                                                Benefit insurance</t>
  </si>
  <si>
    <t xml:space="preserve">                                                ЇОМШ-ний даатгал</t>
  </si>
  <si>
    <t xml:space="preserve">                                                Workplace injuries and occupational disease insurance</t>
  </si>
  <si>
    <t xml:space="preserve">                                                Ажилгїйдлийн даатгал</t>
  </si>
  <si>
    <t xml:space="preserve">                                                Unemployment insurance</t>
  </si>
  <si>
    <t xml:space="preserve">                                                Эрїїл мэндийн даатгал</t>
  </si>
  <si>
    <t xml:space="preserve">                                                Health insurance</t>
  </si>
  <si>
    <t xml:space="preserve">                                      Байр ашиглалттай холбоотой тогтмол зардал</t>
  </si>
  <si>
    <t xml:space="preserve">                                      Fixed expenses related to office building</t>
  </si>
  <si>
    <t xml:space="preserve">                                                Гэрэл, цахилгаан</t>
  </si>
  <si>
    <t xml:space="preserve">                                                Electricity</t>
  </si>
  <si>
    <t xml:space="preserve">                                                Тїлш, халаалт</t>
  </si>
  <si>
    <t xml:space="preserve">                                                Heating</t>
  </si>
  <si>
    <t xml:space="preserve">                                                Цэвэр, бохир ус</t>
  </si>
  <si>
    <t xml:space="preserve">                                                Clean water sewerage</t>
  </si>
  <si>
    <t xml:space="preserve">                                      Хангамж, бараа материалын зардал</t>
  </si>
  <si>
    <t xml:space="preserve">                                      Office supplies and inventory</t>
  </si>
  <si>
    <t xml:space="preserve">                                                Бичиг хэрэг</t>
  </si>
  <si>
    <t xml:space="preserve">                                                Stationery</t>
  </si>
  <si>
    <t xml:space="preserve">                                                Тээвэр, шатахуун</t>
  </si>
  <si>
    <t xml:space="preserve">                                                Transportation, fuel</t>
  </si>
  <si>
    <t xml:space="preserve">                                                Шуудан, холбоо, интернэтийн тєлбєр</t>
  </si>
  <si>
    <t xml:space="preserve">                                                Postal, telecommunication and internet connection expenses</t>
  </si>
  <si>
    <t xml:space="preserve">                                                Хог хаягдал зайлуулах, хортон мэрэгчдийн устгал, ариутгал</t>
  </si>
  <si>
    <t xml:space="preserve">                                                Garbage removal, disinfection</t>
  </si>
  <si>
    <t xml:space="preserve">                                                Бага їнэтэй, тїргэн элэгдэх, ахуйн эд зїйлс</t>
  </si>
  <si>
    <t xml:space="preserve">                                                Inventory of low cost, non durable goods</t>
  </si>
  <si>
    <t xml:space="preserve">                                      Нормативт зардал</t>
  </si>
  <si>
    <t xml:space="preserve">                                      Standard cost</t>
  </si>
  <si>
    <t xml:space="preserve">                                                Нормын хувцас, зєєлєн эдлэл</t>
  </si>
  <si>
    <t xml:space="preserve">                                                Clothing and bedding</t>
  </si>
  <si>
    <t xml:space="preserve">                                      Эд хогшил, урсгал засварын зардал</t>
  </si>
  <si>
    <t xml:space="preserve">                                      Furniture, current repair expenses</t>
  </si>
  <si>
    <t xml:space="preserve">                                                Багаж, техник, хэрэгсэл</t>
  </si>
  <si>
    <t xml:space="preserve">                                                Purchase of tools and appliances</t>
  </si>
  <si>
    <t xml:space="preserve">                                                Урсгал засвар</t>
  </si>
  <si>
    <t xml:space="preserve">                                                Renovation expenses</t>
  </si>
  <si>
    <t xml:space="preserve">                                      Томилолт, зочны зардал</t>
  </si>
  <si>
    <t xml:space="preserve">                                      Travel and guest expenses</t>
  </si>
  <si>
    <t xml:space="preserve">                                                Дотоод албан томилолт</t>
  </si>
  <si>
    <t xml:space="preserve">                                                Domestic trip expenses</t>
  </si>
  <si>
    <t xml:space="preserve">                                      Бусдаар гїйцэтгїїлсэн ажил, їйлчилгээний тєлбєр, хураамж</t>
  </si>
  <si>
    <t xml:space="preserve">                                      Work, service payment, fee performed by others</t>
  </si>
  <si>
    <t xml:space="preserve">                                                Бусдаар гїйцэтгїїлсэн бусад нийтлэг ажил, їйлчилгээний тєлбєр, хураамж</t>
  </si>
  <si>
    <t xml:space="preserve">                                                Other common payments for contracted out of services and works</t>
  </si>
  <si>
    <t xml:space="preserve">                                                Даатгалын їйлчилгээ</t>
  </si>
  <si>
    <t xml:space="preserve">                                                Insurance service</t>
  </si>
  <si>
    <t xml:space="preserve">                                                Тээврийн хэрэгслийн татвар</t>
  </si>
  <si>
    <t xml:space="preserve">                                                Vehicle tax</t>
  </si>
  <si>
    <t xml:space="preserve">                                                Тээврийн хэрэгслийн оношлогоо</t>
  </si>
  <si>
    <t xml:space="preserve">                                                Vehicle inspection</t>
  </si>
  <si>
    <t xml:space="preserve">                                                Мэдээллийн технологийн їйлчилгээ</t>
  </si>
  <si>
    <t xml:space="preserve">                                                Information Technology service</t>
  </si>
  <si>
    <t xml:space="preserve">                                                Газрын тєлбєр</t>
  </si>
  <si>
    <t xml:space="preserve">                                                Land fee</t>
  </si>
  <si>
    <t xml:space="preserve">                                                Улсын мэдээллийн маягт хэвлэх, бэлтгэх</t>
  </si>
  <si>
    <t xml:space="preserve">                                                Printing of state forms</t>
  </si>
  <si>
    <t xml:space="preserve">                                      Бараа їйлчилгээний бусад зардал</t>
  </si>
  <si>
    <t xml:space="preserve">                                      Purchase of other goods and services</t>
  </si>
  <si>
    <t xml:space="preserve">                                                Бараа їйлчилгээний бусад зардал</t>
  </si>
  <si>
    <t xml:space="preserve">                                                Other Goods and services expenditures</t>
  </si>
  <si>
    <t xml:space="preserve">                                                Хичээл їйлдвэрлэлийн дадлага хийх</t>
  </si>
  <si>
    <t xml:space="preserve">                                                Expenses on training and practice</t>
  </si>
  <si>
    <t xml:space="preserve">                                 УРСГАЛ ШИЛЖЇЇЛЭГ</t>
  </si>
  <si>
    <t xml:space="preserve">                                 CURRENT TRANSFER</t>
  </si>
  <si>
    <t xml:space="preserve">                                      Бусад урсгал шилжїїлэг</t>
  </si>
  <si>
    <t xml:space="preserve">                                      Other current transfers</t>
  </si>
  <si>
    <t xml:space="preserve">                                                Бусад Ажил олгогчоос олгох бусад тэтгэмж, урамшуулал</t>
  </si>
  <si>
    <t xml:space="preserve">                                                Other bonus and benefits by employers</t>
  </si>
  <si>
    <t xml:space="preserve">                                                Нэг удаагийн тэтгэмж, шагнал урамшуулал</t>
  </si>
  <si>
    <t xml:space="preserve">                                                One off benefit, allowance, bonus</t>
  </si>
  <si>
    <t xml:space="preserve">                       ЗАРДЛЫГ САНХЇЇЖЇЇЛЭХ ЭХ ЇЇСВЭР</t>
  </si>
  <si>
    <t xml:space="preserve">                       FINANCING SOURCES</t>
  </si>
  <si>
    <t xml:space="preserve">                            Улсын тєсвєєс санхїїжих</t>
  </si>
  <si>
    <t xml:space="preserve">                            Financed from state budget</t>
  </si>
  <si>
    <t xml:space="preserve">                                                Улсын тєсвєєс санхїїжих</t>
  </si>
  <si>
    <t xml:space="preserve">                                                Financed from state budget</t>
  </si>
  <si>
    <t xml:space="preserve">                            Тєсєвт байгууллагын їйл ажиллагаанаас</t>
  </si>
  <si>
    <t xml:space="preserve">                            Financed by budgetary entity</t>
  </si>
  <si>
    <t xml:space="preserve">                                                Їндсэн їйл ажиллагааны орлогоос санхїїжих</t>
  </si>
  <si>
    <t xml:space="preserve">                                                Financed from operating income (core operations)</t>
  </si>
  <si>
    <t xml:space="preserve">                                                Туслах їйл ажиллагааны орлогоос санхїїжих</t>
  </si>
  <si>
    <t xml:space="preserve">                                                Financed from operations income (auxiliary operations)</t>
  </si>
  <si>
    <t xml:space="preserve">                       ТЄСВИЙН БУСАД МЭДЭЭЛЛИЙН АНГИЛАЛ</t>
  </si>
  <si>
    <t xml:space="preserve">                       OTHER BUDGET INFORMATION</t>
  </si>
  <si>
    <t xml:space="preserve">                            БАЙГУУЛЛАГЫН ТОО</t>
  </si>
  <si>
    <t xml:space="preserve">                            NUMBER OF ENTITIES</t>
  </si>
  <si>
    <t xml:space="preserve">                                                Тєсвийн байгууллага</t>
  </si>
  <si>
    <t xml:space="preserve">                                                Budget entity</t>
  </si>
  <si>
    <t xml:space="preserve">                            АЖИЛЛАГСДЫН ТОО</t>
  </si>
  <si>
    <t xml:space="preserve">                            NUMBER OF STAFF</t>
  </si>
  <si>
    <t xml:space="preserve">                                                Удирдах ажилтан</t>
  </si>
  <si>
    <t xml:space="preserve">                                                Management staff</t>
  </si>
  <si>
    <t xml:space="preserve">                                                Гїйцэтгэх ажилтан</t>
  </si>
  <si>
    <t xml:space="preserve">                                                Executive staff</t>
  </si>
  <si>
    <t xml:space="preserve">                                                Їйлчлэх ажилтан</t>
  </si>
  <si>
    <t xml:space="preserve">                                                Service staff</t>
  </si>
  <si>
    <t xml:space="preserve">                            ОРОН ТООНЫ МЭДЭЭЛЭЛ</t>
  </si>
  <si>
    <t xml:space="preserve">                            PERSONNEL INFORMATION</t>
  </si>
  <si>
    <t xml:space="preserve">                                                Тєрийн захиргааны албан хаагч (ТЗ)</t>
  </si>
  <si>
    <t xml:space="preserve">                                                Civil servants - Public administration (ТЗ)</t>
  </si>
  <si>
    <t xml:space="preserve">                                                Эрїїл мэндийн салбарын тєрийн їйлчилгээний албан хаагч (ТЇЭМ)</t>
  </si>
  <si>
    <t xml:space="preserve">                                                Civil servants - Public service for health sector (ТЇЭМ)</t>
  </si>
  <si>
    <t xml:space="preserve">                                                Тєрийн їйлчилгээний бусад албан хаагч (ТЇ)</t>
  </si>
  <si>
    <t xml:space="preserve">                                                Civil servants - Public service for other (ТЇ)</t>
  </si>
  <si>
    <t xml:space="preserve">            Эрїїл мэндийн хєгжлийн тєв</t>
  </si>
  <si>
    <t xml:space="preserve">            Center for health development</t>
  </si>
  <si>
    <t>10114</t>
  </si>
  <si>
    <t>Эрїїл мэндийн хєгжлийн тєв</t>
  </si>
  <si>
    <t xml:space="preserve">                             НИЙТ ЗАРЛАГА ба ЦЭВЭР ЗЭЭЛИЙН ДЇН</t>
  </si>
  <si>
    <t xml:space="preserve">                             TOTAL EXPENDITURE  AND NET LENDING</t>
  </si>
  <si>
    <t xml:space="preserve">                                  УРСГАЛ ЗАРДАЛ</t>
  </si>
  <si>
    <t xml:space="preserve">                                  CURRENT EXPENDITURE</t>
  </si>
  <si>
    <t xml:space="preserve">                                       БАРАА, ЇЙЛЧИЛГЭЭНИЙ ЗАРДАЛ</t>
  </si>
  <si>
    <t xml:space="preserve">                                       GOODS AND SERVICES EXPENDITURES</t>
  </si>
  <si>
    <t xml:space="preserve">                                            Цалин, хєлс болон нэмэгдэл урамшил</t>
  </si>
  <si>
    <t xml:space="preserve">                                            Wages and salaries, bonuses</t>
  </si>
  <si>
    <t xml:space="preserve">                                                      Їндсэн цалин</t>
  </si>
  <si>
    <t xml:space="preserve">                                                      Base Salary</t>
  </si>
  <si>
    <t xml:space="preserve">                                                      Нэмэгдэл</t>
  </si>
  <si>
    <t xml:space="preserve">                                                      Pay supplement</t>
  </si>
  <si>
    <t xml:space="preserve">                                                      Унаа хоолны Хєнгєлєлт</t>
  </si>
  <si>
    <t xml:space="preserve">                                                      Travel and meal allowance</t>
  </si>
  <si>
    <t xml:space="preserve">                                            Ажил олгогчоос нийгмийн даатгалд тєлєх шимтгэл</t>
  </si>
  <si>
    <t xml:space="preserve">                                            Social insurance contributions paid by employers</t>
  </si>
  <si>
    <t xml:space="preserve">                                                      Тэтгэврийн даатгал</t>
  </si>
  <si>
    <t xml:space="preserve">                                                      Pension insurance</t>
  </si>
  <si>
    <t xml:space="preserve">                                                      Тэтгэмжийн даатгал</t>
  </si>
  <si>
    <t xml:space="preserve">                                                      Benefit insurance</t>
  </si>
  <si>
    <t xml:space="preserve">                                                      ЇОМШ-ний даатгал</t>
  </si>
  <si>
    <t xml:space="preserve">                                                      Workplace injuries and occupational disease insurance</t>
  </si>
  <si>
    <t xml:space="preserve">                                                      Ажилгїйдлийн даатгал</t>
  </si>
  <si>
    <t xml:space="preserve">                                                      Unemployment insurance</t>
  </si>
  <si>
    <t xml:space="preserve">                                                      Эрїїл мэндийн даатгал</t>
  </si>
  <si>
    <t xml:space="preserve">                                                      Health insurance</t>
  </si>
  <si>
    <t xml:space="preserve">                                            Байр ашиглалттай холбоотой тогтмол зардал</t>
  </si>
  <si>
    <t xml:space="preserve">                                            Fixed expenses related to office building</t>
  </si>
  <si>
    <t xml:space="preserve">                                                      Гэрэл, цахилгаан</t>
  </si>
  <si>
    <t xml:space="preserve">                                                      Electricity</t>
  </si>
  <si>
    <t xml:space="preserve">                                                      Тїлш, халаалт</t>
  </si>
  <si>
    <t xml:space="preserve">                                                      Heating</t>
  </si>
  <si>
    <t xml:space="preserve">                                                      Цэвэр, бохир ус</t>
  </si>
  <si>
    <t xml:space="preserve">                                                      Clean water sewerage</t>
  </si>
  <si>
    <t xml:space="preserve">                                            Хангамж, бараа материалын зардал</t>
  </si>
  <si>
    <t xml:space="preserve">                                            Office supplies and inventory</t>
  </si>
  <si>
    <t xml:space="preserve">                                                      Бичиг хэрэг</t>
  </si>
  <si>
    <t xml:space="preserve">                                                      Stationery</t>
  </si>
  <si>
    <t xml:space="preserve">                                                      Тээвэр, шатахуун</t>
  </si>
  <si>
    <t xml:space="preserve">                                                      Transportation, fuel</t>
  </si>
  <si>
    <t xml:space="preserve">                                                      Шуудан, холбоо, интернэтийн тєлбєр</t>
  </si>
  <si>
    <t xml:space="preserve">                                                      Postal, telecommunication and internet connection expenses</t>
  </si>
  <si>
    <t xml:space="preserve">                                                      Хог хаягдал зайлуулах, хортон мэрэгчдийн устгал, ариутгал</t>
  </si>
  <si>
    <t xml:space="preserve">                                                      Garbage removal, disinfection</t>
  </si>
  <si>
    <t xml:space="preserve">                                                      Бага їнэтэй, тїргэн элэгдэх, ахуйн эд зїйлс</t>
  </si>
  <si>
    <t xml:space="preserve">                                                      Inventory of low cost, non durable goods</t>
  </si>
  <si>
    <t xml:space="preserve">                                            Нормативт зардал</t>
  </si>
  <si>
    <t xml:space="preserve">                                            Standard cost</t>
  </si>
  <si>
    <t xml:space="preserve">                                                      Нормын хувцас, зєєлєн эдлэл</t>
  </si>
  <si>
    <t xml:space="preserve">                                                      Clothing and bedding</t>
  </si>
  <si>
    <t xml:space="preserve">                                            Эд хогшил, урсгал засварын зардал</t>
  </si>
  <si>
    <t xml:space="preserve">                                            Furniture, current repair expenses</t>
  </si>
  <si>
    <t xml:space="preserve">                                                      Багаж, техник, хэрэгсэл</t>
  </si>
  <si>
    <t xml:space="preserve">                                                      Purchase of tools and appliances</t>
  </si>
  <si>
    <t xml:space="preserve">                                                      Урсгал засвар</t>
  </si>
  <si>
    <t xml:space="preserve">                                                      Renovation expenses</t>
  </si>
  <si>
    <t xml:space="preserve">                                            Томилолт, зочны зардал</t>
  </si>
  <si>
    <t xml:space="preserve">                                            Travel and guest expenses</t>
  </si>
  <si>
    <t xml:space="preserve">                                                      Дотоод албан томилолт</t>
  </si>
  <si>
    <t xml:space="preserve">                                                      Domestic trip expenses</t>
  </si>
  <si>
    <t xml:space="preserve">                                            Бусдаар гїйцэтгїїлсэн ажил, їйлчилгээний тєлбєр, хураамж</t>
  </si>
  <si>
    <t xml:space="preserve">                                            Work, service payment, fee performed by others</t>
  </si>
  <si>
    <t xml:space="preserve">                                                      Бусдаар гїйцэтгїїлсэн бусад нийтлэг ажил, їйлчилгээний тєлбєр, хураамж</t>
  </si>
  <si>
    <t xml:space="preserve">                                                      Other common payments for contracted out of services and works</t>
  </si>
  <si>
    <t xml:space="preserve">                                                      Даатгалын їйлчилгээ</t>
  </si>
  <si>
    <t xml:space="preserve">                                                      Insurance service</t>
  </si>
  <si>
    <t xml:space="preserve">                                                      Тээврийн хэрэгслийн татвар</t>
  </si>
  <si>
    <t xml:space="preserve">                                                      Vehicle tax</t>
  </si>
  <si>
    <t xml:space="preserve">                                                      Тээврийн хэрэгслийн оношлогоо</t>
  </si>
  <si>
    <t xml:space="preserve">                                                      Vehicle inspection</t>
  </si>
  <si>
    <t xml:space="preserve">                                                      Мэдээллийн технологийн їйлчилгээ</t>
  </si>
  <si>
    <t xml:space="preserve">                                                      Information Technology service</t>
  </si>
  <si>
    <t xml:space="preserve">                                                      Газрын тєлбєр</t>
  </si>
  <si>
    <t xml:space="preserve">                                                      Land fee</t>
  </si>
  <si>
    <t xml:space="preserve">                                                      Улсын мэдээллийн маягт хэвлэх, бэлтгэх</t>
  </si>
  <si>
    <t xml:space="preserve">                                                      Printing of state forms</t>
  </si>
  <si>
    <t xml:space="preserve">                                            Бараа їйлчилгээний бусад зардал</t>
  </si>
  <si>
    <t xml:space="preserve">                                            Purchase of other goods and services</t>
  </si>
  <si>
    <t xml:space="preserve">                                                      Бараа їйлчилгээний бусад зардал</t>
  </si>
  <si>
    <t xml:space="preserve">                                                      Other Goods and services expenditures</t>
  </si>
  <si>
    <t xml:space="preserve">                                                      Хичээл їйлдвэрлэлийн дадлага хийх</t>
  </si>
  <si>
    <t xml:space="preserve">                                                      Expenses on training and practice</t>
  </si>
  <si>
    <t xml:space="preserve">                                       УРСГАЛ ШИЛЖЇЇЛЭГ</t>
  </si>
  <si>
    <t xml:space="preserve">                                       CURRENT TRANSFER</t>
  </si>
  <si>
    <t xml:space="preserve">                                            Бусад урсгал шилжїїлэг</t>
  </si>
  <si>
    <t xml:space="preserve">                                            Other current transfers</t>
  </si>
  <si>
    <t xml:space="preserve">                                                      Бусад Ажил олгогчоос олгох бусад тэтгэмж, урамшуулал</t>
  </si>
  <si>
    <t xml:space="preserve">                                                      Other bonus and benefits by employers</t>
  </si>
  <si>
    <t xml:space="preserve">                                                      Нэг удаагийн тэтгэмж, шагнал урамшуулал</t>
  </si>
  <si>
    <t xml:space="preserve">                                                      One off benefit, allowance, bonus</t>
  </si>
  <si>
    <t xml:space="preserve">                             ЗАРДЛЫГ САНХЇЇЖЇЇЛЭХ ЭХ ЇЇСВЭР</t>
  </si>
  <si>
    <t xml:space="preserve">                             FINANCING SOURCES</t>
  </si>
  <si>
    <t xml:space="preserve">                                  Улсын тєсвєєс санхїїжих</t>
  </si>
  <si>
    <t xml:space="preserve">                                  Financed from state budget</t>
  </si>
  <si>
    <t xml:space="preserve">                                                      Улсын тєсвєєс санхїїжих</t>
  </si>
  <si>
    <t xml:space="preserve">                                                      Financed from state budget</t>
  </si>
  <si>
    <t xml:space="preserve">                                  Тєсєвт байгууллагын їйл ажиллагаанаас</t>
  </si>
  <si>
    <t xml:space="preserve">                                  Financed by budgetary entity</t>
  </si>
  <si>
    <t xml:space="preserve">                                                      Їндсэн їйл ажиллагааны орлогоос санхїїжих</t>
  </si>
  <si>
    <t xml:space="preserve">                                                      Financed from operating income (core operations)</t>
  </si>
  <si>
    <t xml:space="preserve">                                                      Туслах їйл ажиллагааны орлогоос санхїїжих</t>
  </si>
  <si>
    <t xml:space="preserve">                                                      Financed from operations income (auxiliary operations)</t>
  </si>
  <si>
    <t xml:space="preserve">                             ТЄСВИЙН БУСАД МЭДЭЭЛЛИЙН АНГИЛАЛ</t>
  </si>
  <si>
    <t xml:space="preserve">                             OTHER BUDGET INFORMATION</t>
  </si>
  <si>
    <t xml:space="preserve">                                  БАЙГУУЛЛАГЫН ТОО</t>
  </si>
  <si>
    <t xml:space="preserve">                                  NUMBER OF ENTITIES</t>
  </si>
  <si>
    <t xml:space="preserve">                                                      Тєсвийн байгууллага</t>
  </si>
  <si>
    <t xml:space="preserve">                                                      Budget entity</t>
  </si>
  <si>
    <t xml:space="preserve">                                  АЖИЛЛАГСДЫН ТОО</t>
  </si>
  <si>
    <t xml:space="preserve">                                  NUMBER OF STAFF</t>
  </si>
  <si>
    <t xml:space="preserve">                                                      Удирдах ажилтан</t>
  </si>
  <si>
    <t xml:space="preserve">                                                      Management staff</t>
  </si>
  <si>
    <t xml:space="preserve">                                                      Гїйцэтгэх ажилтан</t>
  </si>
  <si>
    <t xml:space="preserve">                                                      Executive staff</t>
  </si>
  <si>
    <t xml:space="preserve">                                                      Їйлчлэх ажилтан</t>
  </si>
  <si>
    <t xml:space="preserve">                                                      Service staff</t>
  </si>
  <si>
    <t xml:space="preserve">                                  ОРОН ТООНЫ МЭДЭЭЛЭЛ</t>
  </si>
  <si>
    <t xml:space="preserve">                                  PERSONNEL INFORMATION</t>
  </si>
  <si>
    <t xml:space="preserve">                                                      Тєрийн захиргааны албан хаагч (ТЗ)</t>
  </si>
  <si>
    <t xml:space="preserve">                                                      Civil servants - Public administration (ТЗ)</t>
  </si>
  <si>
    <t xml:space="preserve">                                                      Эрїїл мэндийн салбарын тєрийн їйлчилгээний албан хаагч (ТЇЭМ)</t>
  </si>
  <si>
    <t xml:space="preserve">                                                      Civil servants - Public service for health sector (ТЇЭМ)</t>
  </si>
  <si>
    <t xml:space="preserve">                                                      Тєрийн їйлчилгээний бусад албан хаагч (ТЇ)</t>
  </si>
  <si>
    <t xml:space="preserve">                                                      Civil servants - Public service for other (ТЇ)</t>
  </si>
  <si>
    <t>ХҮНИЙ НӨӨЦИЙН БОДЛОГО ЗОХИЦУУЛАЛТЫН АЛБА</t>
  </si>
  <si>
    <t>2019-2020 онд  улсын төсвийн санхүүжилтээр  суралцуулах Эмнэлгийн мэргэжилтний төгсөлтийн дараах  
сургалтын төсвийн тооцоо</t>
  </si>
  <si>
    <t>Суралцагч-дын тоо</t>
  </si>
  <si>
    <t>Сургал-тын хугацаа  /сар/</t>
  </si>
  <si>
    <t>2016 оны үндсэн мэргэшлийн сургалтын төлбөр /үргэлжлэл/</t>
  </si>
  <si>
    <t>2017 оны үндсэн мэргэшлийн сургалтын төлбөр /үргэлжлэл/</t>
  </si>
  <si>
    <t>2018 оны үндсэн мэргэшлийн сургалтын төлбөр /үргэлжлэл/</t>
  </si>
  <si>
    <t>2019 оны үндсэн мэргэшлийн сургалтын төлбөр</t>
  </si>
  <si>
    <t>Үндсэн мэргэшлийн сургалтын тэтгэлэг</t>
  </si>
  <si>
    <t>2016 оны үндсэн мэргэшлийн сургалтын тэтгэлэг  /үргэлжлэл/</t>
  </si>
  <si>
    <t>2017 оны үндсэн мэргэшлийн сургалтын тэтгэлэг /үргэлжлэл/</t>
  </si>
  <si>
    <t>2018 оны үндсэн мэргэшлийн сургалтын тэтгэлэг /үргэлжлэл/</t>
  </si>
  <si>
    <t>НИЙТ ҮНДСЭН МЭРГЭШЛИЙН ЗАРДАЛ</t>
  </si>
  <si>
    <t>2018-2019 оны хичээлийн жилийн элсэлтийн төрөлжсөн мэргэшлийн сургалтын зардал /үргэлжлэл/</t>
  </si>
  <si>
    <t>2019-2020 оны хичээлийн жилийн элсэлтийн  төрөлжсөн мэргэшлийн сургалтын зардал</t>
  </si>
  <si>
    <t>2017-2018 оны  хичээлийн жилийн элсэлтийн төрөлжсөн мэргэшлийн сургалтын тэтгэлэг/үргэлжлэл/</t>
  </si>
  <si>
    <t>2018-2019 оны хичээлийн жилийн элсэлтийн мэргэжил дээшлүүлэх сургалтын төлбөр /үргэлжлэл/</t>
  </si>
  <si>
    <t>2018-2019 оны  хичээлийн жилийн элсэлтийн мэргэжил дээшлүүлэх сургалтын тэтгэлэг/үргэлжлэл/</t>
  </si>
  <si>
    <t>2019-2020 оны хичээлийн жилийн элсэлтийн мэргэжил дээшлүүлэх сургалтын зардал</t>
  </si>
  <si>
    <t>Бусад</t>
  </si>
  <si>
    <t>Сорилын сангийн баяжилт. Сорилын үнэлгээ</t>
  </si>
  <si>
    <t>ХЯНАСАН:</t>
  </si>
  <si>
    <t>/Б.Амарсайхан ХНБЗА-ныдарга/</t>
  </si>
  <si>
    <t>БОЛОВСРУУЛСАН:</t>
  </si>
  <si>
    <t>Б.Мөнхцэцэг  ХНБЗА, Мэргэжилтэн</t>
  </si>
  <si>
    <t>Д.Баярхүү  ХНБЗА, Мэргэжилтэн</t>
  </si>
  <si>
    <t>Я.Бадамсүрэн  ХНБЗА, Мэргэжилтэн</t>
  </si>
  <si>
    <t>П.Эрхэмбаяр ХНБЗА, Мэргэжилтэн</t>
  </si>
  <si>
    <t>Ш.Алтанцэцэг  ХНБЗА, Мэргэжилтэн</t>
  </si>
  <si>
    <t>Г.Цолмонбаяр ХНБЗА, Мэргэжилтэн</t>
  </si>
  <si>
    <t xml:space="preserve">Эмнэлгийн мэргэжилтний мэргэжлийн үйл ажиллагаа эрхлэх зөвшөөрлийн шалгалт </t>
  </si>
  <si>
    <t>Үнэ</t>
  </si>
  <si>
    <t>Улаан цаас</t>
  </si>
  <si>
    <t>Үнэт цаас</t>
  </si>
  <si>
    <t>Бичгийн цаас</t>
  </si>
  <si>
    <t>Принтрийн хор</t>
  </si>
  <si>
    <t xml:space="preserve">Орон нутаг дахь мэргэжлийн үйл ажиллагаа эрхлэх зөвшөөрлийн шалгалт:                </t>
  </si>
  <si>
    <t>2019 оны Анагаах ухааны их дээд сургууль төгсөгчдийн шалгалтаар Дархан-Уул, Дорноговь, Говь-Алтай аймагт, Явцын мэргэжлийн үйл ажиллагаа эрхлэх шалгалтаар хүсэлт гаргасан аймагт ажиллана.</t>
  </si>
  <si>
    <t>Дотоод томилолтын зардал</t>
  </si>
  <si>
    <t>Шалгалтын өрөөний засвар</t>
  </si>
  <si>
    <t>Албаны дотоод үйл ажиллагаа болон хэрэгцээнд</t>
  </si>
  <si>
    <t>Зөөврийн компьютер/notebook/</t>
  </si>
  <si>
    <t xml:space="preserve">Хувилагч </t>
  </si>
  <si>
    <t>Гар скайнер</t>
  </si>
  <si>
    <t>Хүний нөөцийн программ хангамжийн программ</t>
  </si>
  <si>
    <t>Дотоод томилолтын зардал   /Байгууллагын хяналт үнэлгээ, суралцагчийн гэрээний хэрэгжилт/</t>
  </si>
  <si>
    <t xml:space="preserve">21 аймагт </t>
  </si>
  <si>
    <t xml:space="preserve">1. Ерөнхий мэргэшил судлалын үндсэн мэргэшлийн сургалт эрхлэх хүсэлт гаргасан байгууллагад шинээр эрх олгох 2 шатны үнэлгээ хийх үйл ажиллагааг Булган, Дорнод, Өмнөговь, Дорноговь, Хөвсгөл аймагт хийнэ.                                     2. Төрийн сангаар суралцагчдын гэрээний хэрэгжилтийг үнэлэх зорилгоор аймгуудаас сонгон 10 аймагт үнэлгээ хийнэ. </t>
  </si>
  <si>
    <t>Дотоод томилолт</t>
  </si>
  <si>
    <t>Эмнэлгийн мэргэжилтний зөвшөөрлийн шалгалтаар:</t>
  </si>
  <si>
    <t xml:space="preserve">УБ-Говь-Алтай аймаг-УБ/                  </t>
  </si>
  <si>
    <t>1хүн*2 талдаа</t>
  </si>
  <si>
    <t>Зам хоног</t>
  </si>
  <si>
    <t>хүн*өдөр</t>
  </si>
  <si>
    <t>2 хүн/4 өдөр</t>
  </si>
  <si>
    <t>УБ-Дорноговь-УБ</t>
  </si>
  <si>
    <t>УБ-Дархан-УБ</t>
  </si>
  <si>
    <t>УБ-Дорнод-УБ</t>
  </si>
  <si>
    <t>Буудлын зардал</t>
  </si>
  <si>
    <t>Сургалт эрхлэгч байгууллагын хяналт, үнэлгээ, суралцагчийн гэрээний биелэлт</t>
  </si>
  <si>
    <t xml:space="preserve">УБ-Дорнод -УБ/                  </t>
  </si>
  <si>
    <t>УБ-Өмнөговь-УБ</t>
  </si>
  <si>
    <t>УБ-Булган-УБ</t>
  </si>
  <si>
    <t>УБ-Хөвсгөл-УБ</t>
  </si>
  <si>
    <t>ХҮНИЙ НӨӨЦИЙН БОДЛОГО ЗОХИЦУУЛАЛТЫН АЛБАНЫ 2019 ОНЫ ОРЛОГЫН ТӨЛӨВЛӨГӨӨНЫ ТӨСӨӨЛӨЛ</t>
  </si>
  <si>
    <t>Үйл ажиллагааны чиглэл</t>
  </si>
  <si>
    <t>Эмнэлгийн мэргэжилтний мэргэжлийн үйл ажиллагаа эрхлэх зөвшөөрлийн шалгалт</t>
  </si>
  <si>
    <t>Анагаах ухааны боловсрол олгох их дээд сургууль төгсөгчдийн мэргэжлийн үйл ажиллагаа эрхлэх зөвшөөрлийн шалгалт</t>
  </si>
  <si>
    <t>Сувилагч, тусгай мэргэжилтэний элсэлтийн  шалгалт</t>
  </si>
  <si>
    <t>Сувилагч, тусгай мэргэжилтэний төгсөлтийн шалгалт</t>
  </si>
  <si>
    <t>Эмч, эмнэлгийн дээд мэргэжилтний төрөлжсөн мэргэшлийн сургалтын элсэлт</t>
  </si>
  <si>
    <t>Эмч, эмнэлгийн дээд мэргэжилтний төрөлжсөн мэргэшлийн сургалтын төгсөлт</t>
  </si>
  <si>
    <t>Үндсэн мэргэшлийн сургалтын элсэлт</t>
  </si>
  <si>
    <t>Үндсэн мэргэшлийн сургалтын төгсөлт</t>
  </si>
  <si>
    <t>Нийт орлогын төсөөлөл</t>
  </si>
  <si>
    <t>Хүснэгт 2</t>
  </si>
  <si>
    <t xml:space="preserve"> Эрүүл мэндийн байгууллагын ажиллагсдын тоо /албан тушаалын ангилал зэрэглэлээр/</t>
  </si>
  <si>
    <r>
      <t> </t>
    </r>
    <r>
      <rPr>
        <sz val="11"/>
        <rFont val="Arial"/>
        <family val="2"/>
      </rPr>
      <t xml:space="preserve">                        </t>
    </r>
  </si>
  <si>
    <r>
      <t> </t>
    </r>
    <r>
      <rPr>
        <sz val="11"/>
        <rFont val="Calibri"/>
        <family val="2"/>
      </rPr>
      <t xml:space="preserve">                  </t>
    </r>
  </si>
  <si>
    <t>Жич: 1. Аймгийн эрүүл мэндийн газрууд нь байгууллага тус бүрээр гарган ирүүлэхийг анхаарах/ сумын эрүүл мэндийн төв тус бүр, сум дундын эмнэлэг тус бүрээр/</t>
  </si>
  <si>
    <t>Албан тушаалын ангилал зэрэглэл</t>
  </si>
  <si>
    <t xml:space="preserve"> Байгууллага</t>
  </si>
  <si>
    <t>Их Эмч</t>
  </si>
  <si>
    <t>Бага эмч</t>
  </si>
  <si>
    <t>Сувилагч</t>
  </si>
  <si>
    <t>Бусад дунд мэргэжилтэн</t>
  </si>
  <si>
    <t>Туслах сувилагч</t>
  </si>
  <si>
    <t>Зөвхөн Түргэн тусламжийн жолооч</t>
  </si>
  <si>
    <t>Асрагч</t>
  </si>
  <si>
    <t>ТЗ-14</t>
  </si>
  <si>
    <t>ТЗ-13</t>
  </si>
  <si>
    <t>ТЗ-12</t>
  </si>
  <si>
    <t>ТЗ-11</t>
  </si>
  <si>
    <t>ТЗ-10</t>
  </si>
  <si>
    <t>ТЗ-9</t>
  </si>
  <si>
    <t>ТЗ-8</t>
  </si>
  <si>
    <t>ТЗ-7</t>
  </si>
  <si>
    <t>ТЗ-6</t>
  </si>
  <si>
    <t>ТЗ-5</t>
  </si>
  <si>
    <t>ТЗ-4</t>
  </si>
  <si>
    <t>ТЗ-3</t>
  </si>
  <si>
    <t>ТҮЭМ-9</t>
  </si>
  <si>
    <t>ТҮЭМ-8</t>
  </si>
  <si>
    <t>ТҮЭМ-7</t>
  </si>
  <si>
    <t>ТҮЭМ-6</t>
  </si>
  <si>
    <t>ТҮЭМ-5</t>
  </si>
  <si>
    <t>ТҮЭМ-4</t>
  </si>
  <si>
    <t>ТҮЭМ-3</t>
  </si>
  <si>
    <t>ТҮЭМ-2</t>
  </si>
  <si>
    <t>ТҮЭМ-1</t>
  </si>
  <si>
    <t>ТҮ-10</t>
  </si>
  <si>
    <t>Гэрээт ажилтан</t>
  </si>
  <si>
    <t>Ерөнхий Мэдээлэл</t>
  </si>
  <si>
    <t>Бодогдсон цалин болон нэмэгдлүүд</t>
  </si>
  <si>
    <t>Нэг сарын бүгд дүн</t>
  </si>
  <si>
    <t>Жилийн цалин</t>
  </si>
  <si>
    <t>ID</t>
  </si>
  <si>
    <t>Овог</t>
  </si>
  <si>
    <t>Тасаг, нэгж</t>
  </si>
  <si>
    <r>
      <t xml:space="preserve">Албан тушаал </t>
    </r>
    <r>
      <rPr>
        <sz val="9"/>
        <color rgb="FFFF0000"/>
        <rFont val="Arial"/>
        <family val="2"/>
        <charset val="204"/>
      </rPr>
      <t>/бүтнээр бичих/</t>
    </r>
  </si>
  <si>
    <t>ЗГ-ын 24 дүгээр тогтоолоор</t>
  </si>
  <si>
    <t>Хөнгөлөлт</t>
  </si>
  <si>
    <t xml:space="preserve">ЗГ-ийн 382-ийн 1 хавсралт төрийн алба хаасны </t>
  </si>
  <si>
    <t>ЗГ-ийн 382-ийн 3 дугаар хавсралт ТА-ийн доктор, пропессорын зэргийн нэмэгдэл</t>
  </si>
  <si>
    <t>ЗГ-ийн 382-ийн 4 дүгээр хавсралт ТҮАХ-ийн ур чавдарын нэмэгдэл</t>
  </si>
  <si>
    <t>ЗГ-ийн 382-ийн 5 дугаар хавсралт ТҮАХ-ийн мэргэшлийн зэргийн</t>
  </si>
  <si>
    <t>ЗГ-ийн 382-ийн 6 дугаар хавсралт орон нутагт ажилласны нэмэгдэл</t>
  </si>
  <si>
    <t>ЗГ-ийн 382-ийн 7 дугаар хавсралт хөдөлмөрийн нөхцөлийн</t>
  </si>
  <si>
    <t xml:space="preserve"> ЗГ-ын 2017оны 246 тогтоолын 4-р хавсралт нууцын нэмэгдэл</t>
  </si>
  <si>
    <t>Бусад нэмэгдэл</t>
  </si>
  <si>
    <t>Нийт нэмэгдэл</t>
  </si>
  <si>
    <t>Хавсран ажилласан</t>
  </si>
  <si>
    <t xml:space="preserve">ЗГ-ийн 382-ийн 2 дугаар хавсралт </t>
  </si>
  <si>
    <t>ЗГ-ийн 05 дугаар тогтоол Үр дүнгийн урамшуулал</t>
  </si>
  <si>
    <t>Нийт нэмэгдэл хөлс</t>
  </si>
  <si>
    <t>Нийт хөнгөлөлт</t>
  </si>
  <si>
    <t>шатлал</t>
  </si>
  <si>
    <t>Сарын цалин мөнгөн дүн</t>
  </si>
  <si>
    <r>
      <t xml:space="preserve">2 дах хэсэг / тэтгэвэрийг хөнгөлөлттэй тогтоох ажил мэргэжлийн жагсаалт </t>
    </r>
    <r>
      <rPr>
        <b/>
        <sz val="11"/>
        <rFont val="Arial"/>
        <family val="2"/>
        <charset val="204"/>
      </rPr>
      <t xml:space="preserve">+ </t>
    </r>
    <r>
      <rPr>
        <sz val="9"/>
        <rFont val="Arial"/>
        <family val="2"/>
      </rPr>
      <t>эх барих эмч, эх баригч, нярай, хүүхэд эмч сувилагч г.м/</t>
    </r>
  </si>
  <si>
    <t>3 дах хэсэг / сүрьеэ/</t>
  </si>
  <si>
    <t xml:space="preserve">Илүү цаг </t>
  </si>
  <si>
    <t>Дуудлагын хөлс</t>
  </si>
  <si>
    <t>17=(8+….16)</t>
  </si>
  <si>
    <t>22=(17+…...+21)</t>
  </si>
  <si>
    <t>25=23+24</t>
  </si>
  <si>
    <t>26=7+17+22+25</t>
  </si>
  <si>
    <t>27=26*12</t>
  </si>
  <si>
    <t>Доржсүрэн</t>
  </si>
  <si>
    <t>Ганцэцэг</t>
  </si>
  <si>
    <t>ТҮ-12-3</t>
  </si>
  <si>
    <t>Баттулга</t>
  </si>
  <si>
    <t>Лхагва</t>
  </si>
  <si>
    <t>Бор</t>
  </si>
  <si>
    <t>Энхээ</t>
  </si>
  <si>
    <t>Батжаргал</t>
  </si>
  <si>
    <t>Цэрэнжамц</t>
  </si>
  <si>
    <t>Àìàðæàðãàë</t>
  </si>
  <si>
    <t>Батбаяр</t>
  </si>
  <si>
    <t>Доржмягмар</t>
  </si>
  <si>
    <t xml:space="preserve">Ахлах мэргэжилтэн </t>
  </si>
  <si>
    <t>Энхболд</t>
  </si>
  <si>
    <t>Энхцэцэг</t>
  </si>
  <si>
    <t>Лхачинжав</t>
  </si>
  <si>
    <t>Мягмардорж</t>
  </si>
  <si>
    <t>Пүрэвдорж</t>
  </si>
  <si>
    <t>Лувсандагва</t>
  </si>
  <si>
    <t>Шагдарсүрэн</t>
  </si>
  <si>
    <t>Солонго</t>
  </si>
  <si>
    <t>Хишигдэлэг</t>
  </si>
  <si>
    <t>Сэрээнэндорж</t>
  </si>
  <si>
    <t>Дàâààæàðãàë</t>
  </si>
  <si>
    <t>Бямбагар</t>
  </si>
  <si>
    <t>Норолхоосүрэн</t>
  </si>
  <si>
    <t>Хад</t>
  </si>
  <si>
    <t>Íàðàíòóÿà</t>
  </si>
  <si>
    <t>Бямбаа</t>
  </si>
  <si>
    <t>Болдбаатар</t>
  </si>
  <si>
    <t>Хишигжаргал</t>
  </si>
  <si>
    <t>Дэлгэрмаа</t>
  </si>
  <si>
    <t>Отгончимэг</t>
  </si>
  <si>
    <t>Дорж</t>
  </si>
  <si>
    <t>Óðàí÷èìýã</t>
  </si>
  <si>
    <t>Дагийна</t>
  </si>
  <si>
    <t>Алтанцэцэг</t>
  </si>
  <si>
    <t>Жанлав</t>
  </si>
  <si>
    <t>Ýðäýíý-О÷èð</t>
  </si>
  <si>
    <t>Нямдорж</t>
  </si>
  <si>
    <t>Гантулга</t>
  </si>
  <si>
    <t>Ишдорж</t>
  </si>
  <si>
    <t>Ариунаа</t>
  </si>
  <si>
    <t>Батболд</t>
  </si>
  <si>
    <t>Зоригтбаатар</t>
  </si>
  <si>
    <t>Шийтэр</t>
  </si>
  <si>
    <t>Энхзаяа</t>
  </si>
  <si>
    <t>Эм, эмнэлэгийн тоног төхөөрөмжийн алба</t>
  </si>
  <si>
    <t>Цолмонбаатар</t>
  </si>
  <si>
    <t>Болортуяа</t>
  </si>
  <si>
    <t>ТҮ-8-5</t>
  </si>
  <si>
    <t>Цэвээнрэгзэн</t>
  </si>
  <si>
    <t>Мөнх-Од</t>
  </si>
  <si>
    <t>Батнаран</t>
  </si>
  <si>
    <t>Дуламсүрэн</t>
  </si>
  <si>
    <t>Ганзориг</t>
  </si>
  <si>
    <t>Бүжмаа</t>
  </si>
  <si>
    <t>Эрдэнэболд</t>
  </si>
  <si>
    <t>Ундармаа</t>
  </si>
  <si>
    <t>Шаравнямбуу</t>
  </si>
  <si>
    <t>Ариунзаяа</t>
  </si>
  <si>
    <t>Цэрэнжав</t>
  </si>
  <si>
    <t>Уянга</t>
  </si>
  <si>
    <t>Дэмбэрэлдорж</t>
  </si>
  <si>
    <t>Бямбадорж</t>
  </si>
  <si>
    <t>Жаргалсайхан</t>
  </si>
  <si>
    <t>Халиунаа</t>
  </si>
  <si>
    <t>Рэнцэн</t>
  </si>
  <si>
    <t>Энхсүрэн</t>
  </si>
  <si>
    <t>Батхүрэл</t>
  </si>
  <si>
    <t>Батцэнгэл</t>
  </si>
  <si>
    <t>Батцэцэг</t>
  </si>
  <si>
    <t>Санж-Очир</t>
  </si>
  <si>
    <t>Бямбажав</t>
  </si>
  <si>
    <t>Батцоож</t>
  </si>
  <si>
    <t>Буянтогтох</t>
  </si>
  <si>
    <t>Амарсанаа</t>
  </si>
  <si>
    <t>Отгонбаяр</t>
  </si>
  <si>
    <t>Хатанболд</t>
  </si>
  <si>
    <t>Түвшинжаргал</t>
  </si>
  <si>
    <t>Учрал</t>
  </si>
  <si>
    <t>Батбаатар</t>
  </si>
  <si>
    <t>Мөнхцэцэг</t>
  </si>
  <si>
    <t>Баярхүү</t>
  </si>
  <si>
    <t>Ядам</t>
  </si>
  <si>
    <t>Бадамсүрэн</t>
  </si>
  <si>
    <t>Сэр-Од</t>
  </si>
  <si>
    <t>Лхагвадорж</t>
  </si>
  <si>
    <t>Ò¯-7-2</t>
  </si>
  <si>
    <t>Дэмчиг</t>
  </si>
  <si>
    <t>Дондогмаа</t>
  </si>
  <si>
    <t>Пүрвээ</t>
  </si>
  <si>
    <t>Эрхэмбаяр</t>
  </si>
  <si>
    <t>Бямбарагчаа</t>
  </si>
  <si>
    <t>Нинжбадгар</t>
  </si>
  <si>
    <t>Ганпүрэв</t>
  </si>
  <si>
    <t>Цолмонбаяр</t>
  </si>
  <si>
    <t>Ширчинням</t>
  </si>
  <si>
    <t>Хосбаяр</t>
  </si>
  <si>
    <t>Баярсайхан</t>
  </si>
  <si>
    <t>Энхжаргал</t>
  </si>
  <si>
    <t>Амарцэнгэл</t>
  </si>
  <si>
    <t>Оюунзул</t>
  </si>
  <si>
    <t>Арцаа</t>
  </si>
  <si>
    <t>Биндэръяа</t>
  </si>
  <si>
    <t>Нацагдорж</t>
  </si>
  <si>
    <t>Сэвжид</t>
  </si>
  <si>
    <t>Пүрэвжал</t>
  </si>
  <si>
    <t>Мидриймаа</t>
  </si>
  <si>
    <t>Мягмаржав</t>
  </si>
  <si>
    <t>Баттуяа</t>
  </si>
  <si>
    <t>Түмэнжаргал</t>
  </si>
  <si>
    <t>Одгэрэл</t>
  </si>
  <si>
    <t>Дарам</t>
  </si>
  <si>
    <t>Бямбасүрэн</t>
  </si>
  <si>
    <t>Нацагням</t>
  </si>
  <si>
    <t>Нарангэрэл</t>
  </si>
  <si>
    <t>Цээсүрэн</t>
  </si>
  <si>
    <t>Тунгалагтамир</t>
  </si>
  <si>
    <t>Мөнхжаргал</t>
  </si>
  <si>
    <t>Номингэрэл</t>
  </si>
  <si>
    <t>Пандаан</t>
  </si>
  <si>
    <t>Батчулуун</t>
  </si>
  <si>
    <t>Эс, эд, эрхтнийг шилжүүлэн суулгах ҮАЗАлба</t>
  </si>
  <si>
    <t>Гончигжав</t>
  </si>
  <si>
    <t>Баяраа</t>
  </si>
  <si>
    <t>Алтантулга</t>
  </si>
  <si>
    <t>Палам</t>
  </si>
  <si>
    <t>Тунгалаг</t>
  </si>
  <si>
    <t>Нямжав</t>
  </si>
  <si>
    <t>Цэндмаа</t>
  </si>
  <si>
    <t>Тогоо</t>
  </si>
  <si>
    <t>Содгэрэл</t>
  </si>
  <si>
    <t>Лувсанноров</t>
  </si>
  <si>
    <t>Оюунчимэг</t>
  </si>
  <si>
    <t>Цэрэнжанцан</t>
  </si>
  <si>
    <t>Одончимэг</t>
  </si>
  <si>
    <t>Очир</t>
  </si>
  <si>
    <t>Нямсүрэн</t>
  </si>
  <si>
    <t>Санжмятав</t>
  </si>
  <si>
    <t>Ëõàãâàñ¿ðýí</t>
  </si>
  <si>
    <t>Сундуйжав</t>
  </si>
  <si>
    <t>Мөнгөнзул</t>
  </si>
  <si>
    <t>Чадраабал</t>
  </si>
  <si>
    <t>Аж ахуйн менежир</t>
  </si>
  <si>
    <t>Пүрэвжав</t>
  </si>
  <si>
    <t>Саранцэцэг</t>
  </si>
  <si>
    <t>Дашдагжид</t>
  </si>
  <si>
    <t>Чулуунбат</t>
  </si>
  <si>
    <t>Ò¯-4-5</t>
  </si>
  <si>
    <t>Балжир</t>
  </si>
  <si>
    <t>Түдэвдорж</t>
  </si>
  <si>
    <t>Болор-Эрдэнэ</t>
  </si>
  <si>
    <t>Архивч</t>
  </si>
  <si>
    <t>Шагдар</t>
  </si>
  <si>
    <t>Бямбабаатар</t>
  </si>
  <si>
    <t>Жолооч</t>
  </si>
  <si>
    <t>Ò¯-3-5</t>
  </si>
  <si>
    <t>Нямжаргал</t>
  </si>
  <si>
    <t>Готов</t>
  </si>
  <si>
    <t>Слесарь</t>
  </si>
  <si>
    <t>Өлзий-Орших</t>
  </si>
  <si>
    <t>Ò¯-1-5</t>
  </si>
  <si>
    <t>Цэндсүрэн</t>
  </si>
  <si>
    <r>
      <t xml:space="preserve">2 дах хэсэг / тэтгэвэрийг хөнгөлөлттэй тогтоох ажил мэргэжлийн жагсаалт </t>
    </r>
    <r>
      <rPr>
        <b/>
        <sz val="9"/>
        <rFont val="Arial"/>
        <family val="2"/>
        <charset val="204"/>
      </rPr>
      <t xml:space="preserve">+ </t>
    </r>
    <r>
      <rPr>
        <sz val="9"/>
        <rFont val="Arial"/>
        <family val="2"/>
      </rPr>
      <t>эх барих эмч, эх баригч, нярай, хүүхэд эмч сувилагч г.м/</t>
    </r>
  </si>
  <si>
    <t>НИЙТ ТӨСӨВ</t>
  </si>
  <si>
    <t>Эс, эд эрхтнийг шилжүүлэн суулгах үйл ажиллагааг зохицуулах алба</t>
  </si>
  <si>
    <t>Магадлан итгэмжлэлийн алба</t>
  </si>
  <si>
    <t>НИЙТ УРСГАЛ ЗАРДАЛ</t>
  </si>
  <si>
    <t xml:space="preserve">      Їндсэн цалин</t>
  </si>
  <si>
    <t xml:space="preserve">      Нэмэгдэл</t>
  </si>
  <si>
    <t xml:space="preserve">      Унаа хоолны Хєнгєлєлт</t>
  </si>
  <si>
    <t xml:space="preserve">      Урамшуулал</t>
  </si>
  <si>
    <t xml:space="preserve">      Гэрэл, цахилгаан</t>
  </si>
  <si>
    <t xml:space="preserve">      Тїлш, халаалт</t>
  </si>
  <si>
    <t xml:space="preserve">      Цэвэр, бохир ус</t>
  </si>
  <si>
    <t xml:space="preserve">      Бичиг хэрэг</t>
  </si>
  <si>
    <t xml:space="preserve">      Тээвэр, шатахуун</t>
  </si>
  <si>
    <t xml:space="preserve">      Шуудан, холбоо, интернэтийн тєлбєр</t>
  </si>
  <si>
    <t xml:space="preserve">      Хог хаягдал зайлуулах, хортон мэрэгчдийн устгал, ариутгал</t>
  </si>
  <si>
    <t xml:space="preserve">      Бага їнэтэй, тїргэн элэгдэх, ахуйн эд зїйлс</t>
  </si>
  <si>
    <t xml:space="preserve">      Нормын хувцас, зєєлєн эдлэл</t>
  </si>
  <si>
    <t xml:space="preserve">      Багаж, техник, хэрэгсэл</t>
  </si>
  <si>
    <t xml:space="preserve">      Урсгал засвар</t>
  </si>
  <si>
    <t xml:space="preserve">      Дотоод албан томилолт</t>
  </si>
  <si>
    <t xml:space="preserve">      Бусдаар гїйцэтгїїлсэн бусад нийтлэг ажил, їйлчилгээний тєлбєр, хураамж</t>
  </si>
  <si>
    <t xml:space="preserve">      Даатгалын їйлчилгээ</t>
  </si>
  <si>
    <t xml:space="preserve">      Тээврийн хэрэгслийн татвар</t>
  </si>
  <si>
    <t xml:space="preserve">      Тээврийн хэрэгслийн оношлогоо</t>
  </si>
  <si>
    <t xml:space="preserve">      Мэдээллийн технологийн їйлчилгээ</t>
  </si>
  <si>
    <t xml:space="preserve">      Газрын тєлбєр</t>
  </si>
  <si>
    <t xml:space="preserve">      Улсын мэдээллийн маягт хэвлэх, бэлтгэх</t>
  </si>
  <si>
    <t xml:space="preserve">      Хичээл їйлдвэрлэлийн дадлага хийх</t>
  </si>
  <si>
    <t xml:space="preserve">      Нэг удаагийн тэтгэмж, шагнал урамшуулал</t>
  </si>
  <si>
    <t xml:space="preserve">      Улсын тєсвєєс санхїїжих</t>
  </si>
  <si>
    <t xml:space="preserve">      Їндсэн їйл ажиллагааны орлогоос санхїїжих</t>
  </si>
  <si>
    <t xml:space="preserve">      Туслах їйл ажиллагааны орлогоос санхїїжих</t>
  </si>
  <si>
    <t>ЭРҮҮЛ МЭНДИЙН ХӨГЖЛИЙН ТӨВИЙН ТӨСВИЙН ЗАДАРГАА /АЛБАДААР/</t>
  </si>
  <si>
    <t xml:space="preserve">      Тавилга</t>
  </si>
  <si>
    <t xml:space="preserve">      Хөдөлмөр хамгааллын хэрэглэл</t>
  </si>
  <si>
    <t>БАЙРЛАГСДЫН ТОО</t>
  </si>
  <si>
    <t xml:space="preserve">2020 онд худалдан авах хөрөнгө болон хийгдэх засвар үйлчилгээний зардлын тооцоо </t>
  </si>
  <si>
    <t>1. Төсвийн хөрөнгө оруулалтаар их засвар</t>
  </si>
  <si>
    <t>2-р байрны барилгын их засвар</t>
  </si>
  <si>
    <t>2-байранд хийгдэх их засварын ажил</t>
  </si>
  <si>
    <t>2-р байранд хийгдэх их засвар, үйлчилгээний ажил</t>
  </si>
  <si>
    <t>2. Төсвийн хөрөнгө оруулалтаар автомашин</t>
  </si>
  <si>
    <t>Ланд Круйзер LC 76 автомашин</t>
  </si>
  <si>
    <t>Хөдөө орон нутагт ажиллах автомашин</t>
  </si>
  <si>
    <t>3.    Урсгал засвар</t>
  </si>
  <si>
    <t>Генераторын өрөө тохижуулах</t>
  </si>
  <si>
    <t>Халуун хөшиг</t>
  </si>
  <si>
    <t>Төв болон 2-р байрны галын хор шинэчлэх</t>
  </si>
  <si>
    <t>Төв болон 2-р байрны галын хорны хугацаа дуусч байгаа шинээр солих шаардлагатай</t>
  </si>
  <si>
    <t xml:space="preserve"> Автомашины урсгал засвар, үйлчилгээ</t>
  </si>
  <si>
    <t>Аккумлятор</t>
  </si>
  <si>
    <t>Дугуй</t>
  </si>
  <si>
    <t>Nissan Sanny</t>
  </si>
  <si>
    <t xml:space="preserve"> солих шаардлагатай</t>
  </si>
  <si>
    <t>Засварын материал</t>
  </si>
  <si>
    <t>Бүтээгдэхүүний нэр</t>
  </si>
  <si>
    <t xml:space="preserve">Хэмжих нэгж </t>
  </si>
  <si>
    <t>Далдлагч том</t>
  </si>
  <si>
    <t>Далдлагч жижиг</t>
  </si>
  <si>
    <t>Ханын Хар хайрцаг (rack)</t>
  </si>
  <si>
    <t>Сүлжээний толгойн резин</t>
  </si>
  <si>
    <t>Ханын тогтоогч</t>
  </si>
  <si>
    <t xml:space="preserve">Цахилгааны лент </t>
  </si>
  <si>
    <t>Тэлэгч жижиг</t>
  </si>
  <si>
    <t>Тэлэгч том</t>
  </si>
  <si>
    <t xml:space="preserve">Шруп жижиг </t>
  </si>
  <si>
    <t>Шруп том</t>
  </si>
  <si>
    <t>2 тал наалттай скоч</t>
  </si>
  <si>
    <t>Дриллийн урт хошуу</t>
  </si>
  <si>
    <t>Цахилгааны утас</t>
  </si>
  <si>
    <t xml:space="preserve">метр </t>
  </si>
  <si>
    <t>хар хайрцагны залгуур (Rack)</t>
  </si>
  <si>
    <t>Вилк</t>
  </si>
  <si>
    <t>Шахдаг хөөс</t>
  </si>
  <si>
    <t>Силикон</t>
  </si>
  <si>
    <t>Лед гэрэл урт</t>
  </si>
  <si>
    <t>Лед гэрэл /богино/</t>
  </si>
  <si>
    <t>Потрон</t>
  </si>
  <si>
    <t xml:space="preserve">Гэрлийн шил </t>
  </si>
  <si>
    <t>Хананы разетка</t>
  </si>
  <si>
    <t>Цавуу</t>
  </si>
  <si>
    <t>Чулууны цавуу</t>
  </si>
  <si>
    <t>боодол</t>
  </si>
  <si>
    <t>Төмрийн хадаас</t>
  </si>
  <si>
    <t>Сипон</t>
  </si>
  <si>
    <t>Холигч</t>
  </si>
  <si>
    <t>Компьютер түүний дагалдах хэрэгслэл, сүлжээний төхөөрөмжүүдийн засвар</t>
  </si>
  <si>
    <t>Patch Panel</t>
  </si>
  <si>
    <t>AMP 24 port Cat5</t>
  </si>
  <si>
    <t xml:space="preserve">      Нийт дүн </t>
  </si>
  <si>
    <t>4. Эд хогшил худалдан авах</t>
  </si>
  <si>
    <t>Ширээ /модон/</t>
  </si>
  <si>
    <t>Сандал /Оффис/</t>
  </si>
  <si>
    <t>Хэрэгцээ шаардлага хангахгүй, эвдрэл гэмтэл ихтэй</t>
  </si>
  <si>
    <t>Сандал /модон/</t>
  </si>
  <si>
    <t xml:space="preserve">Хэрэгцээ шаардлага хангахгүй, эвдрэл гэмтэл ихтэй </t>
  </si>
  <si>
    <t xml:space="preserve">Хаалттай ширээ </t>
  </si>
  <si>
    <t>Цаас устгагч</t>
  </si>
  <si>
    <t>Шинээр авах шаардлагатай</t>
  </si>
  <si>
    <t>5. Багаж, техник хэрэгсэл</t>
  </si>
  <si>
    <t>м тр</t>
  </si>
  <si>
    <t>Принтер/3 үйлдэлтэй өнгөт /Epson L850/</t>
  </si>
  <si>
    <t>3 үйлдэлт өнгөт принтер эвдэрч засвар авахаа больсон тул шинээр авах шаардлагатай.</t>
  </si>
  <si>
    <t>Компьютер /Dell/</t>
  </si>
  <si>
    <t>Компьютер эвдэрч засвар авахгүй болсон тул шинээр авах шаардлагатай.</t>
  </si>
  <si>
    <t>Note book /Dell/</t>
  </si>
  <si>
    <t>Сургалтанд хэрэглэдэг Note book /Dell/ эвдэрч засвар авахгүй болсон тул шинээр авах шаардлагатай.</t>
  </si>
  <si>
    <t>Айркондейшн</t>
  </si>
  <si>
    <t>Сургалтын заал болон өрөөнүүдэд шаардлагатай байна.</t>
  </si>
  <si>
    <t xml:space="preserve">Скайнер </t>
  </si>
  <si>
    <t>Шинээр авах шаардлагатай, техник үзүүлэлт өндөр байх шаардлагатай</t>
  </si>
  <si>
    <t xml:space="preserve">Ус цэвэршүүлэгч </t>
  </si>
  <si>
    <t>Зургийн аппарат /цүнхтэй/</t>
  </si>
  <si>
    <t>6. Хөдөлмөр хамгааллын хэрэгсэл</t>
  </si>
  <si>
    <t>Гамшгийн зарлан мэдээлэх үеийн ажиллагсадад зориулсан хамгаалах иж бүрдэл бүхий үүргэвч</t>
  </si>
  <si>
    <t xml:space="preserve">7. Нормын хувцас зөөлөн эдлэл </t>
  </si>
  <si>
    <t xml:space="preserve">Үйлчлэгчийн ажлын хувцас  </t>
  </si>
  <si>
    <t>2 ээлжийн өвөл зуны хувцас</t>
  </si>
  <si>
    <t>Сандлын бүрээс</t>
  </si>
  <si>
    <t>Сургалтын сандалнуудад бүрээс хийх</t>
  </si>
  <si>
    <t xml:space="preserve">Слесарийн бохирын хувцас </t>
  </si>
  <si>
    <t xml:space="preserve">Ажлын хувцас /гутал/ </t>
  </si>
  <si>
    <t>3 ээлжийн өвөл зуны хувцас</t>
  </si>
  <si>
    <t>8. Хог хаягдал, хортон шавьж устгал</t>
  </si>
  <si>
    <t>Төв байрны хог хаягдал</t>
  </si>
  <si>
    <t>2-р байрны хог хаягдал</t>
  </si>
  <si>
    <t>Төв байрны ариутгал халдваргүйжүүлэлт</t>
  </si>
  <si>
    <t>2-р байрны ариутгал халдваргүйжүүлэлт</t>
  </si>
  <si>
    <t xml:space="preserve"> 9. Бага үнэтэй, түргэн элэгдэх зүйлс</t>
  </si>
  <si>
    <t>00-ын цаас</t>
  </si>
  <si>
    <t>00 цэвэрлэгч</t>
  </si>
  <si>
    <t>Агааржуулагч</t>
  </si>
  <si>
    <t>Алчуур запас</t>
  </si>
  <si>
    <t>аяга таваг угаагч</t>
  </si>
  <si>
    <t>Батерей</t>
  </si>
  <si>
    <t>Батерей GP</t>
  </si>
  <si>
    <t>Белизна</t>
  </si>
  <si>
    <t>Бөглөө гаргагч</t>
  </si>
  <si>
    <t>Гадаргуу цэвэрлэгч</t>
  </si>
  <si>
    <t>Гарын саван</t>
  </si>
  <si>
    <t>Комет</t>
  </si>
  <si>
    <t>Комиссын алчуур</t>
  </si>
  <si>
    <t>Паркет өнгөлөгч</t>
  </si>
  <si>
    <t>Резинэн бээлий</t>
  </si>
  <si>
    <t>Скоч жижиг</t>
  </si>
  <si>
    <t>Скоч том</t>
  </si>
  <si>
    <t>Суултуур угаагч</t>
  </si>
  <si>
    <t>Суултуур цэвэрлэгч</t>
  </si>
  <si>
    <t>Толбо арилгагч</t>
  </si>
  <si>
    <t>Угаалгын нунтаг 6кг</t>
  </si>
  <si>
    <t>Хогийн сав</t>
  </si>
  <si>
    <t>Хогийн уут жижиг</t>
  </si>
  <si>
    <t>Хогийн уут том</t>
  </si>
  <si>
    <t>Цэвэрлэгээний алчуур</t>
  </si>
  <si>
    <t>м</t>
  </si>
  <si>
    <t>Шал угаагчны гар</t>
  </si>
  <si>
    <t>Шил цэвэрлэгч</t>
  </si>
  <si>
    <t>Шингэн саван 5 л</t>
  </si>
  <si>
    <t>Ширээний цаас</t>
  </si>
  <si>
    <t>Эдийн саван</t>
  </si>
  <si>
    <t>Элгэн алчуур</t>
  </si>
  <si>
    <t>10. Бичиг хэргийн материал</t>
  </si>
  <si>
    <t>DVD  хальс</t>
  </si>
  <si>
    <t>Автомат дугаарлагч</t>
  </si>
  <si>
    <t>Бал /тосон/</t>
  </si>
  <si>
    <t>Бал наадаг</t>
  </si>
  <si>
    <t>Бал үзгэн</t>
  </si>
  <si>
    <t>Баланк А4</t>
  </si>
  <si>
    <t>Баланк А5</t>
  </si>
  <si>
    <t>Балын харандаа</t>
  </si>
  <si>
    <t>Баримтын зүү</t>
  </si>
  <si>
    <t>Баримтын утас</t>
  </si>
  <si>
    <t>Баримтын хавтас</t>
  </si>
  <si>
    <t>Бичгийн хавчаар</t>
  </si>
  <si>
    <t>боод</t>
  </si>
  <si>
    <t>Босоо тавиур</t>
  </si>
  <si>
    <t>Гар dell</t>
  </si>
  <si>
    <t>Дугтуй сунадаг</t>
  </si>
  <si>
    <t>Дэвтэр</t>
  </si>
  <si>
    <t>Дэвтэр А-4</t>
  </si>
  <si>
    <t>Инк цаас</t>
  </si>
  <si>
    <t>Ирсэн бичгийн дэвтэр</t>
  </si>
  <si>
    <t>Каноны хор TN322</t>
  </si>
  <si>
    <t>Каноны хор TN323</t>
  </si>
  <si>
    <t>Кассын дэвтэр</t>
  </si>
  <si>
    <t>Ламинаторын цаас</t>
  </si>
  <si>
    <t>Наадаг цаас өнгийн</t>
  </si>
  <si>
    <t>Наадаг цаас том</t>
  </si>
  <si>
    <t>Нуруу 1-1.5 мм</t>
  </si>
  <si>
    <t>нуруу 12.5 мм</t>
  </si>
  <si>
    <t>Нуруу 2мм</t>
  </si>
  <si>
    <t>Нуруу дунд</t>
  </si>
  <si>
    <t>Нуруу том</t>
  </si>
  <si>
    <t>Нүхтэй хавтас</t>
  </si>
  <si>
    <t>Нэрийн хуудасны цаас</t>
  </si>
  <si>
    <t>Өнгийн наалт</t>
  </si>
  <si>
    <t>Өнгийн цаас</t>
  </si>
  <si>
    <t>Өнгийн цаас зузааан</t>
  </si>
  <si>
    <t>Өнгөт хор</t>
  </si>
  <si>
    <t>Принтерийн хор /Samsung 101S/</t>
  </si>
  <si>
    <t>Принтерийн хор /Samsung 104S/</t>
  </si>
  <si>
    <t>Принтерийн хор /Samsung 105L/</t>
  </si>
  <si>
    <t>Принтерийн хор /Samsung 111S/</t>
  </si>
  <si>
    <t>Принтерийн хор /цэнэглэсэн/</t>
  </si>
  <si>
    <t>Принтерийн хор 05А</t>
  </si>
  <si>
    <t>Принтерийн хор 12А</t>
  </si>
  <si>
    <t>Принтерийн хор 15А</t>
  </si>
  <si>
    <t>Принтерийн хор 17А</t>
  </si>
  <si>
    <t>Принтерийн хор 78A</t>
  </si>
  <si>
    <t>Принтерийн хор 83А</t>
  </si>
  <si>
    <t>Принтерийн хор 85A</t>
  </si>
  <si>
    <t>СD диск</t>
  </si>
  <si>
    <t>Самбарын алчуур</t>
  </si>
  <si>
    <t>Самбарын үзэг</t>
  </si>
  <si>
    <t>Самбарын хадаас</t>
  </si>
  <si>
    <t>Самбарын цаас</t>
  </si>
  <si>
    <t>Слайдын цаас</t>
  </si>
  <si>
    <t>Тамганы дардас</t>
  </si>
  <si>
    <t>Тамганы суурь</t>
  </si>
  <si>
    <t>Тамганы тос</t>
  </si>
  <si>
    <t>Тогтоол шийдвэрийн дэвтэр</t>
  </si>
  <si>
    <t>Тодруулагч</t>
  </si>
  <si>
    <t>Тооны машин</t>
  </si>
  <si>
    <t>Төмөр шугам</t>
  </si>
  <si>
    <t>Тушаалын бланк</t>
  </si>
  <si>
    <t>Тэвнэ</t>
  </si>
  <si>
    <t>Үдээс авагч</t>
  </si>
  <si>
    <t>Үдээс том</t>
  </si>
  <si>
    <t>Үдээсний машин</t>
  </si>
  <si>
    <t>Файл хавтас өргөн</t>
  </si>
  <si>
    <t>Файл хавтас нарийн</t>
  </si>
  <si>
    <t>Фото цаас</t>
  </si>
  <si>
    <t>Хавтас хуудастай</t>
  </si>
  <si>
    <t>Хавчаар дунд</t>
  </si>
  <si>
    <t>Хавчаар жижиг</t>
  </si>
  <si>
    <t>Хавчаар том</t>
  </si>
  <si>
    <t>Хайч</t>
  </si>
  <si>
    <t>Хувилагчийн хор NPG-51</t>
  </si>
  <si>
    <t>Хэвтээ тавиур</t>
  </si>
  <si>
    <t>Цаас цоологч</t>
  </si>
  <si>
    <t>Цаасны хутга</t>
  </si>
  <si>
    <t>Цавуутай бор цаас</t>
  </si>
  <si>
    <t>Санал өгсөн:                                               Ч.Тунгалаг /Аж ахуйн менежер/</t>
  </si>
  <si>
    <t xml:space="preserve">      Гадаад албан томилолт</t>
  </si>
  <si>
    <t>ЭМХТ-ийн Эрүүл мэндийн мэдээллийн  чиглэлээр 2020 онд хэрэгжүүлэх үйл ажиллагааны жагсаалт,  
шаардлагатай төсвийн санал</t>
  </si>
  <si>
    <t>Улирал тутмын мэдээ
 хэвлүүлэх</t>
  </si>
  <si>
    <t xml:space="preserve">"Эрүүл мэндийн үзүүлэлт"-2019 номыг боловсруулах, хэвлүүлэх, орчуулах
</t>
  </si>
  <si>
    <t>хэвлүүлэх -20 000
орчуулах-1500 000</t>
  </si>
  <si>
    <t>"Үндсэн үзүүлэлтийн эмхэтгэл" 2010-2019 хэвлүүлэх</t>
  </si>
  <si>
    <t>байгууллагын
 тоо</t>
  </si>
  <si>
    <t xml:space="preserve">3 аймаг, нийслэл 7 байгууллага
</t>
  </si>
  <si>
    <t>аймаг-4 021 790
нийслэлд-1 146 000</t>
  </si>
  <si>
    <t>5 167 790</t>
  </si>
  <si>
    <t xml:space="preserve">"Эрүүл мэндийн статистик мэдээллийн талаар авах арга хэмжээний тухай" тушаалын өөрчлөлт хийгдэж, шинэчлэгдсэн маягтуудыг хэвлүүлэх
</t>
  </si>
  <si>
    <t xml:space="preserve">Шинэчлэгдсэн анхан шатны болон тайлангийн маягтуудыг танилцуулах сургалт зохион байгуулах
</t>
  </si>
  <si>
    <t xml:space="preserve">хамрагдах хүний тоо
</t>
  </si>
  <si>
    <t>21 аймаг-42
Нийслэл-60</t>
  </si>
  <si>
    <t>аймаг-15 844 500
нийслэл-2 458 500</t>
  </si>
  <si>
    <t>Эрүүл мэндийн статистикч их, бага эмч нарын байршил хангамж, тоног, төхөөрөмжийн судалгаа хийх</t>
  </si>
  <si>
    <t xml:space="preserve">Судалгаанд хамрагдах хүний тоо
</t>
  </si>
  <si>
    <t xml:space="preserve">мэдээлэл цуглуулах-600000
нэгтгэх-500000
Боловсруулалт, тайлан-1400000
</t>
  </si>
  <si>
    <t>Шаардлагатай байгаа мэдээллийн технологийн програм, тоног төхөөрөмж</t>
  </si>
  <si>
    <t>Програм, Тоног төхөөрөмж</t>
  </si>
  <si>
    <t>Зориулалт</t>
  </si>
  <si>
    <t>Тоо шихрэг</t>
  </si>
  <si>
    <t>/төгрөг/</t>
  </si>
  <si>
    <t>Windows server standart  2012R2 үйлдлийн системийн лиценз</t>
  </si>
  <si>
    <t>Лиценз</t>
  </si>
  <si>
    <t>Байгууллагын сервер копьютерийн ажиллагаа. Аюулгүй байдлыг хангах</t>
  </si>
  <si>
    <t>Visual studio 2015</t>
  </si>
  <si>
    <t xml:space="preserve">Лиценз </t>
  </si>
  <si>
    <t>Програм хангамж бичих, хөгжүүлэх, тестлэхэд шаардалагатай</t>
  </si>
  <si>
    <t>Moodle Plugin</t>
  </si>
  <si>
    <t>Plugin /нэмэлт меню/</t>
  </si>
  <si>
    <t>Цахим сорилыг серверт байршуулах</t>
  </si>
  <si>
    <t>Суурин компьютер pro</t>
  </si>
  <si>
    <r>
      <t>I7, 8</t>
    </r>
    <r>
      <rPr>
        <vertAlign val="superscript"/>
        <sz val="11"/>
        <color theme="1"/>
        <rFont val="Arial"/>
        <family val="2"/>
      </rPr>
      <t>th</t>
    </r>
    <r>
      <rPr>
        <sz val="11"/>
        <color theme="1"/>
        <rFont val="Arial"/>
        <family val="2"/>
      </rPr>
      <t xml:space="preserve"> generation, 1TB HHD, 512 SSD  hard, 16Gb DDR4 ram, Grafic card 8GB</t>
    </r>
  </si>
  <si>
    <t>Програм хангамж бичих, видео, зургийн эвлүүлэх мантаж, эх бэлтгэл хийх</t>
  </si>
  <si>
    <t>Суурин компьютер хэрэглээний</t>
  </si>
  <si>
    <r>
      <t>I7, 8</t>
    </r>
    <r>
      <rPr>
        <vertAlign val="superscript"/>
        <sz val="11"/>
        <color theme="1"/>
        <rFont val="Arial"/>
        <family val="2"/>
      </rPr>
      <t>th</t>
    </r>
    <r>
      <rPr>
        <sz val="11"/>
        <color theme="1"/>
        <rFont val="Arial"/>
        <family val="2"/>
      </rPr>
      <t xml:space="preserve"> generation, 1TB HHD hard, 8Gb DDR4 ram, Grafic card 2GB</t>
    </r>
  </si>
  <si>
    <t>Оффисийн үйл ажиллагаанд ашиглагдана.</t>
  </si>
  <si>
    <t>График карт Nvidia</t>
  </si>
  <si>
    <t>4GB GDDR5</t>
  </si>
  <si>
    <t>Дэлгэцэнд өгөгдөл харуулах, Програм хангамжийг ачаалах, Дэлгэц салаалах</t>
  </si>
  <si>
    <t>SSD ( solid state drive)</t>
  </si>
  <si>
    <t>240 GB</t>
  </si>
  <si>
    <t>Компьютерийн файл ачааллах хурдыг нэмж гацалтыг багасгах</t>
  </si>
  <si>
    <t>Wireless mouse keyboard MK270</t>
  </si>
  <si>
    <t>Logitech Wireless USB</t>
  </si>
  <si>
    <t>Телемедициний үйлчилгээ болон сургалт, хурал хийхэд шаардлагатай</t>
  </si>
  <si>
    <t>Asus RT-N12HP Wireless router</t>
  </si>
  <si>
    <t>4 антен 100-1000мв</t>
  </si>
  <si>
    <t>Байгууллагын давхар бүрт утасгүй интернэтийн сүлжээ үүсгэх</t>
  </si>
  <si>
    <t>Нөүтбүүк</t>
  </si>
  <si>
    <r>
      <t>I7, 8</t>
    </r>
    <r>
      <rPr>
        <vertAlign val="superscript"/>
        <sz val="11"/>
        <color theme="1"/>
        <rFont val="Arial"/>
        <family val="2"/>
      </rPr>
      <t>th</t>
    </r>
    <r>
      <rPr>
        <sz val="11"/>
        <color theme="1"/>
        <rFont val="Arial"/>
        <family val="2"/>
      </rPr>
      <t xml:space="preserve"> generation, 1TB SSD hard, 16Gb DDR4 ram </t>
    </r>
  </si>
  <si>
    <t xml:space="preserve">Телемедициний үйлчилгээ үзүүлэхэд  болон статистикийн мэдээлэл боловсруулахад зөөврийн зориулалтаар ашиглах, хадгалах, </t>
  </si>
  <si>
    <t>Epson L1800</t>
  </si>
  <si>
    <t>А3 өнгөт</t>
  </si>
  <si>
    <t>Байгууллагын өнгөтөөр хэвлэх шаардлагатай материалыг хэвлэх</t>
  </si>
  <si>
    <t>Цахилгаан орон мэдрэгч</t>
  </si>
  <si>
    <t>Хана нүхэлж өрөмдөхөд цахилгааны утас мэдэрдэг төхөөрөмж</t>
  </si>
  <si>
    <t>Сүлжээ болон телефон утас татах үед хана нүхэлж өрөмдөхөд</t>
  </si>
  <si>
    <t>Дижитал цоож</t>
  </si>
  <si>
    <t>Код болон түлхүүрээр онгойдог</t>
  </si>
  <si>
    <t>Серверийн өрөөний аюулгүй байдлыг хангахад</t>
  </si>
  <si>
    <t>Телефон утасны гадаад шугамыг зөөх ЦХ-ны ажилчны хөлс</t>
  </si>
  <si>
    <t xml:space="preserve">Телефон утасны гадаад шугамыг нэг дор төвлөрүүлж, серверийн өрөөрүү зөөх </t>
  </si>
  <si>
    <t>CAT5E 50 Pair Cable</t>
  </si>
  <si>
    <t>25 хостой телефон утасны магистраль кабель (150 метр)</t>
  </si>
  <si>
    <t>Мэргэжилтэн бүрийн дэргэд телефон утас татах боломжийг бий болгох, телефон утасны дотоод сүлжээг өргөжүүлэх</t>
  </si>
  <si>
    <t>Сүлжээ татахад</t>
  </si>
  <si>
    <t>Шалны далдлагч</t>
  </si>
  <si>
    <t>Ханны далдлагч</t>
  </si>
  <si>
    <t>/нарийн/</t>
  </si>
  <si>
    <t>/өргөн/</t>
  </si>
  <si>
    <t>Цахилгааны лент</t>
  </si>
  <si>
    <t xml:space="preserve">Телефон утас салаалах </t>
  </si>
  <si>
    <t>Багцлагч</t>
  </si>
  <si>
    <t xml:space="preserve">Зөөврийн Hard disk </t>
  </si>
  <si>
    <t>SSD 512</t>
  </si>
  <si>
    <t>Файл зөөвөрлөх. Хадгалах</t>
  </si>
  <si>
    <t>Флаш диск</t>
  </si>
  <si>
    <t>32gb</t>
  </si>
  <si>
    <t>Компьютер форталахад ашиглах /Сүүлийн үеийн үйлдлийн системийг багтаамж ихэссэн/ Мөн том хэмжээний файл зөөх</t>
  </si>
  <si>
    <t>Тэлэгч</t>
  </si>
  <si>
    <t>Шрүп</t>
  </si>
  <si>
    <t>2019 оны төсөвт суулгах мэдээллийн технологийн зардал</t>
  </si>
  <si>
    <t>Програм хангамж, Түрээсийн төлбөр</t>
  </si>
  <si>
    <t>Интернетийн түрээс (ЭМХТ-I байр)</t>
  </si>
  <si>
    <t>16Mbps</t>
  </si>
  <si>
    <t>Эрүүл мэндийн хөгжлийн төвийн нэгдүгээр байрны интернет хэрэглээ болон Телемедициний үндэсний сүлжээний нэгдсэн интернет гарцын хэрэглээний төлбөр</t>
  </si>
  <si>
    <t>Интернетийн түрээс (ЭМХТ-II байр)</t>
  </si>
  <si>
    <t>4Mbps</t>
  </si>
  <si>
    <t>Эрүүл мэндийн хөгжлийн төвийн хоёрдугаар байрны интернет хэрэглээ болон цахим шалгалтын интернет гарцын хэрэглээний төлбөр</t>
  </si>
  <si>
    <t>Антивирусны програм хангамж</t>
  </si>
  <si>
    <t xml:space="preserve">kaspersky security end point </t>
  </si>
  <si>
    <t>Эрүүл мэндийн хөгжлийн төвийн сервер компьютер, хэрэглэгчийн компьютеруудын хамгаалалт</t>
  </si>
  <si>
    <t>H-Info 3.0 програм хангамж</t>
  </si>
  <si>
    <t>Статистик мэдээ, мэдээлэл боловсруулах програм</t>
  </si>
  <si>
    <t>H-Info 3.0 програм хангамжийн иргэний бүртгэл, Статистикийн үндэсний хороо, Үндэсний дата төвийн ХУР системтэй мэдээлэл солилцох сервис үйлчилгээ үзүүлэх, Тайлан мэдээг боловсронгуй болгох шинэчлэлт өөрчлөлт</t>
  </si>
  <si>
    <t>http://hinfo.mn</t>
  </si>
  <si>
    <t>Домайн нэр ашиглах</t>
  </si>
  <si>
    <t>Домайн нэр ашигласан төлбөр</t>
  </si>
  <si>
    <t xml:space="preserve">https://hinfo.mn SSL </t>
  </si>
  <si>
    <t xml:space="preserve">Домайн нэр SSL </t>
  </si>
  <si>
    <t>SSL нууцлал аюулгүй байдлын төлбөр</t>
  </si>
  <si>
    <t>2019 оны төсөвт суулгах мэдээллийн технологийн мэргэжилтнүүдийн сургалтын зардал</t>
  </si>
  <si>
    <t>Сургалтын нэр</t>
  </si>
  <si>
    <t>Орон нутгийн Мэдээллийн технологийн мэргэжилтнүүдийг чадавхижуулах зайн сургалт</t>
  </si>
  <si>
    <r>
      <t>Эрүүл мэндийн</t>
    </r>
    <r>
      <rPr>
        <b/>
        <sz val="11"/>
        <color theme="1"/>
        <rFont val="Arial"/>
        <family val="2"/>
      </rPr>
      <t xml:space="preserve"> </t>
    </r>
    <r>
      <rPr>
        <sz val="11"/>
        <color theme="1"/>
        <rFont val="Arial"/>
        <family val="2"/>
      </rPr>
      <t>байгууллагуудын мэдээллийн технологийн мэргэжилтнүүдийн мэдлэг, мэргэжлийн ур чадвар дээшилж, байгууллагын цахим сүлжээ, програм хангамж, цахим хуудасны хэвийн найдвартай үйл ажиллагаагаар хангагдаж, байгууллагын түвшинд ашиглагдаж, хадгалагдаж буй цахим мэдээ, мэдээллийн аюулгүй байдал хангагдана.</t>
    </r>
  </si>
  <si>
    <t>2020 онд  улсын төсвийн санхүүжилтээр  суралцуулах төгсөлтийн дараах сургалтын  
сургалтын төсвийн тооцоо</t>
  </si>
  <si>
    <t>Үндсэн мэргэшлийн сургалт:</t>
  </si>
  <si>
    <t>1.     </t>
  </si>
  <si>
    <t>2017 оны үндсэн мэргэшлийн сургалтын зардал</t>
  </si>
  <si>
    <t>16 000</t>
  </si>
  <si>
    <t>2.     </t>
  </si>
  <si>
    <t>2018 оны үндсэн мэргэшлийн сургалтын зардал</t>
  </si>
  <si>
    <t>3.     </t>
  </si>
  <si>
    <t>2019 оны үндсэн мэргэшлийн сургалтын зардал</t>
  </si>
  <si>
    <t>4.     </t>
  </si>
  <si>
    <t>2020 оны үндсэн мэргэшлийн сургалтын зардал</t>
  </si>
  <si>
    <t xml:space="preserve">Сургалтын төлбөр- Нийт  </t>
  </si>
  <si>
    <t>5.     </t>
  </si>
  <si>
    <t xml:space="preserve">2017 оны үндсэн мэргэшлийн сургалтын тэтгэлэг </t>
  </si>
  <si>
    <t>8 сар/32 багц</t>
  </si>
  <si>
    <t>6.     </t>
  </si>
  <si>
    <t>2018 оны үндсэн мэргэшлийн сургалтын тэтгэлэг</t>
  </si>
  <si>
    <t>7.     </t>
  </si>
  <si>
    <t>2019 оны үндсэн мэргэшлийн сургалтын тэтгэлэг</t>
  </si>
  <si>
    <t xml:space="preserve">Тэтгэлэг-  Нийт </t>
  </si>
  <si>
    <t>2018--2019 оны хичээлийн жилийн элсэлтийн мэргэжил дээшлүүлэх сургалтын зардал/үргэлжлэл/</t>
  </si>
  <si>
    <t>1 багц цаг</t>
  </si>
  <si>
    <t xml:space="preserve"> Дэд дүн</t>
  </si>
  <si>
    <t>2019-2020 оны хичээлийн жилд сувилагч, тусгай мэргэжилтний төрөлжсөн мэргэшүүлэх сургалт /4 сар/</t>
  </si>
  <si>
    <t>2019-2020 оны хичээлийн жилд сувилагч, тусгай мэргэжилтний төрөлжсөн мэргэшүүлэх сургалт /3 сар/</t>
  </si>
  <si>
    <t>2019-2020 оны сувилагч, тусгай мэргэжилтний төрөлжсөн мэргэшүүлэх сургалтын тэтгэлэг  /1сар/</t>
  </si>
  <si>
    <t>2018-2019 сувилагч, тусгай мэргэжилтний төрөлжсөн мэргэшүүлэх сургалтын тэтгэлэг  үргэлжлэл /1сар/</t>
  </si>
  <si>
    <t>2019-2020 оны сувилагч тусгай мэргэжилтний мэргэжил дээшлүүлэх сургалтын зардал 150</t>
  </si>
  <si>
    <t>Сувилагч, эмнэлгийн бусад мэргэжилтэн-Дэд дүн</t>
  </si>
  <si>
    <t>Амь тэнссэн үеийн түргэвчилсэн яаралтай тусламж - сургалт</t>
  </si>
  <si>
    <t>Амилуулах суурь тусламж- сургалт</t>
  </si>
  <si>
    <t>Зүрх зогссон үеийн яаралтай тусламж - сургалт</t>
  </si>
  <si>
    <t>Эрүүл мэндийн мэргэжилтний харилцаа хандлага ёс зүйн сургалт</t>
  </si>
  <si>
    <t xml:space="preserve">Эмнэлгийн мэргэжилтний халдвар хамгааллын сургалт </t>
  </si>
  <si>
    <t xml:space="preserve">Жирэмсэн эмэгтэйд үзүүлэх яаралтай тусламжийн сургалт </t>
  </si>
  <si>
    <t xml:space="preserve">Нярайн зүрх уушги амилуулах яаралтай тусламжийн сургалт </t>
  </si>
  <si>
    <t>Эмнэлзүйн сургагч багшийн сургалт /ТОТ/</t>
  </si>
  <si>
    <t>56,000,00</t>
  </si>
  <si>
    <t>Давтамж</t>
  </si>
  <si>
    <t>Сорилын улаан цаасны төлбөр</t>
  </si>
  <si>
    <t>Комисын гишүүдийн цалин</t>
  </si>
  <si>
    <t>Шалгалтын зардал</t>
  </si>
  <si>
    <t>Дотоодын эмнэлгийн мэргэжилтний мэргэжлийн үйл ажиллагаа эрхлэх зөвшөөрлийн гэрчилгээ</t>
  </si>
  <si>
    <t>Сорилын сан</t>
  </si>
  <si>
    <t>Сорилын сангийн төрөл</t>
  </si>
  <si>
    <t xml:space="preserve">Боловсруулах сорилын тоо </t>
  </si>
  <si>
    <t>1 сорилын үнэ</t>
  </si>
  <si>
    <t>Нийт сорилын үнэ</t>
  </si>
  <si>
    <t>Дотоодын эмнэлгийн мэргэжилтний зөвшөөрлийн шалгалтын сорилын сангийн баяжилт /шинээр сорил боловсруулах/</t>
  </si>
  <si>
    <t>Гадаадын эмнэлгийн мэргэжилтний зөвшөөрлийн шалгалтын сорилын сангийн баяжилт /шинээр сорил боловсруулах/</t>
  </si>
  <si>
    <t>Төгсөлтийн дараах сургалтын элсэлт, төгсөлтийн шалгалтын сорилын сангийн баяжилт /шинээр сорил, бодлого  боловсруулах/</t>
  </si>
  <si>
    <t>Сорил, бодлого боловсруулах арга зүйн сургалт</t>
  </si>
  <si>
    <t>Сөүл төслийн бэлтгэл сургалт</t>
  </si>
  <si>
    <t>Бусад сургалт</t>
  </si>
  <si>
    <t>Сургалтын чиглэл</t>
  </si>
  <si>
    <t xml:space="preserve">Сургалтын тоо </t>
  </si>
  <si>
    <t xml:space="preserve">Мэргэжлийн зэргийн болон гадаад сургалтын журмын хэлэлцүүлэг, батлагдсан журмыг хэрэгжүүлэх нөлөөллийн танилцуулга </t>
  </si>
  <si>
    <t>Байгууллагын ажиллагсадад хэвлэл, мэдээлэл, олон нийттэй харилцах, ярилцлага өгөх, үйлчилгээний болон байгууллагын талаар сургалт</t>
  </si>
  <si>
    <t>Хэвлэл, мэдээллийн хэрэгсэл, сэтгүүлчдэд байгууллагын талаар мэдээлэл хийх уулзалт-сургалт</t>
  </si>
  <si>
    <t>Байгууллагын ажиллагсадад зориулсан сургалт</t>
  </si>
  <si>
    <t>Архив, бичиг хэрэг хөтлөлтийн сургалт</t>
  </si>
  <si>
    <t xml:space="preserve">А-3-ийн сургалт </t>
  </si>
  <si>
    <t>Магадлан итгэмжлэлийн шинжээчдийн сургалт</t>
  </si>
  <si>
    <t>Чанар аюулгүй байдал эрсдлийн чиглэлээр хэлэлцүүлэг хийх</t>
  </si>
  <si>
    <t>Чанар аюулгүй байдал эрсдлийн сургалт</t>
  </si>
  <si>
    <t>Эрүүл мэндийн байгууллагуудад зориулсан магадлан итгэмжлэлийн гарын авлага (ном CD)</t>
  </si>
  <si>
    <t>200 ш</t>
  </si>
  <si>
    <t>Магадлан итгэмжлэлийн шинжээчдэд зориулсан гарын авлага хэвлүүлэх</t>
  </si>
  <si>
    <t>4 494 385 200</t>
  </si>
  <si>
    <t>Т.Учрал ХНБЗА, АЛБАНЫ ДАРГА/</t>
  </si>
  <si>
    <t>/П.ЭРХЭМБАЯР  ХНБЗА, АХЛАХ МЭРГЭЖИЛТЭН/</t>
  </si>
  <si>
    <t>/Д.БАЯРХҮҮ  ХНБЗА, МЭРГЭЖИЛТЭН/</t>
  </si>
  <si>
    <t>/Д.ДОНДОГМАА  ХНБЗА, МЭРГЭЖИЛТЭН/</t>
  </si>
  <si>
    <t>/Ш.АЛТАНЦЭЦЭГ  ХНБЗА, МЭРГЭЖИЛТЭН/</t>
  </si>
  <si>
    <t>/Г.ЦОЛМОНБАЯР  ХНБЗА, МЭРГЭЖИЛТЭН/</t>
  </si>
  <si>
    <t>нэгтгэсэн                   Д.Дондогмаа</t>
  </si>
  <si>
    <t>хянасан                      Т.Учрал</t>
  </si>
  <si>
    <t>2019.07.19</t>
  </si>
  <si>
    <t>Бүртгэлийн төлбөрөөс орох  орлого (2020 он)</t>
  </si>
  <si>
    <t>Импортын эм /Түргэвчилсэн бүртгэл/</t>
  </si>
  <si>
    <t>Импортын эм /Энгийн бүртгэл/</t>
  </si>
  <si>
    <t>Хянасан:                                 Ш.Энхзаяа /ЭЭТТА-ны дарга/</t>
  </si>
  <si>
    <t>Боловсруулсан:                                 Ц.Мөнх-Од /ЭЭТТА-ны мэргэжилтэн/</t>
  </si>
  <si>
    <t>2020 оны эмнэлгийн тоног төхөөрөмжийн шалгалт тохируулгын  үйл ажиллагааны орлогын төсөв</t>
  </si>
  <si>
    <t>ШТ-ын тариф</t>
  </si>
  <si>
    <t>Боловсруулсан:                          Р.Энхсүрэн /ЭЭТТА-ны мэргэжилтэн /</t>
  </si>
  <si>
    <t xml:space="preserve">2020 онд бүртгэлийн төлбөрөөс гарах зардлын төсөөлөл </t>
  </si>
  <si>
    <t>Нэгж үнэ /₮/</t>
  </si>
  <si>
    <t>Нийт дүн /₮/</t>
  </si>
  <si>
    <t>шинэ үйлчлэгч бодис бүхий эм</t>
  </si>
  <si>
    <t>ЕНЭ, эмийн түүхий эд, оношлуур, БИБ</t>
  </si>
  <si>
    <t>50 шинжээч</t>
  </si>
  <si>
    <t>100 байгууллага</t>
  </si>
  <si>
    <t>Эм, эмнэлгийн тоног төхөөрөмжийн албаны 2020 оны үйл ажиллагааны төсөв</t>
  </si>
  <si>
    <t>2019.07.17</t>
  </si>
  <si>
    <t xml:space="preserve">Монгол Улсын Засгийн газрын 2016-2020 оны үйл ажиллагааны хөтөлбөрийг хэрэгжүүлэх арга хэмжээний төлөвлөгөөний “3.1.11 Олон улсын жишигт нийцсэн оношилгоо, эмчилгээний төв байгуулж, эрүүл мэндийн салбарт дэвшилтэт технологи нэвтрүүлэх замаар гадаадад гарах мөнгөн урсгалыг бууруулна” зорилтын хэрэгжүүлэх арга хэмжээний 5-д “Эмнэлгийн багаж, тоног төхөөрөмжийн чанарын хяналт, баталгаажилтыг өргөжүүлэх” гэж заасан энэ ажлын хүрээнд  бөгөөд Эмнэлгийн тоног төхөөрөмжийн шалгалт баталгаажуулалтын жишиг лабораторитой болох, үндэсний стандарт болох гэсэн ажлууд төлөвлөгдсөн. </t>
  </si>
  <si>
    <t xml:space="preserve">Шалгалт тохируулгад хамрагдсан байдлыг мэдээлэх стикер хэвлүүлэх </t>
  </si>
  <si>
    <t>Эмнэлгийн тоног төхөөрөмжийн шалгалт тохируулга, засвар үйлчилгээ хийхэд шаардлагатай симулятор, анализатор, багаж, тоног төхөөрөмж худалдан авах</t>
  </si>
  <si>
    <r>
      <t xml:space="preserve">Монгол Улсын Засгийн газрын 2016-2020 оны үйл ажиллагааны хөтөлбөрийг хэрэгжүүлэх арга хэмжээний төлөвлөгөөний “3.1.11 Олон улсын жишигт нийцсэн оношилгоо, эмчилгээний төв байгуулж, эрүүл мэндийн салбарт дэвшилтэт технологи нэвтрүүлэх замаар гадаадад гарах мөнгөн урсгалыг бууруулна” зорилтын хэрэгжүүлэх арга хэмжээний 5-д “Эмнэлгийн багаж, тоног төхөөрөмжийн чанарын хяналт, баталгаажилтыг өргөжүүлэх” гэж заасан энэ ажлын хүрээнд  бөгөөд Эмнэлгийн тоног төхөөрөмжийн шалгалт баталгаажуулалтын жишиг лабораторитой болох, үндэсний стандарт болох гэсэн ажлууд төлөвлөгдсөн. </t>
    </r>
    <r>
      <rPr>
        <sz val="11"/>
        <color theme="1"/>
        <rFont val="Arial"/>
        <family val="2"/>
      </rPr>
      <t xml:space="preserve"> </t>
    </r>
  </si>
  <si>
    <t>Эмнэлгийн тоног төхөөрөмжид шалгалт тохируулга хийх симулятор, анализаторын баглаа, савыг сайжруулах</t>
  </si>
  <si>
    <r>
      <t xml:space="preserve">Гадаад томилолт: </t>
    </r>
    <r>
      <rPr>
        <sz val="11"/>
        <color rgb="FF000000"/>
        <rFont val="Arial"/>
        <family val="2"/>
      </rPr>
      <t>Шалгалт тохируулгын симулятор, анализаторыг баталгаажуулалт хийх, үйлдвэрлэгчтэй уулзалт хийх, гэрээ хэлцэл байгуулах</t>
    </r>
  </si>
  <si>
    <r>
      <rPr>
        <b/>
        <sz val="11"/>
        <color theme="1"/>
        <rFont val="Arial"/>
        <family val="2"/>
      </rPr>
      <t xml:space="preserve">Дотоод томилолт: </t>
    </r>
    <r>
      <rPr>
        <sz val="11"/>
        <color theme="1"/>
        <rFont val="Arial"/>
        <family val="2"/>
      </rPr>
      <t>БОЭТ, аймгийн нэгдсэн эмнэлэг болон эрүүл мэндийн газрын харьяа эрүүл мэндийн төвүүдийн эмнэлгийн тоног төхөөрөмжид  шалгалт баталгаажуулалт  хийх томилолтын зардал</t>
    </r>
  </si>
  <si>
    <t xml:space="preserve">Монгол Улсын Засгийн газрын 2016-2020 оны үйл ажиллагааны хөтөлбөрийг хэрэгжүүлэх арга хэмжээний төлөвлөгөөний “3.1.11 Олон улсын жишигт нийцсэн оношилгоо, эмчилгээний төв байгуулж, эрүүл мэндийн салбарт дэвшилтэт технологи нэвтрүүлэх замаар гадаадад гарах мөнгөн урсгалыг бууруулна” зорилтын хэрэгжүүлэх арга хэмжээний 7-д “Оношилгоо, эмчилгээний тоног төхөөрөмжийн засвар үйлчилгээ хариуцсан нэгж бий болгож, инженер, мэргэжилтнүүдийг мэргэшүүлэх” гэж заасан. </t>
  </si>
  <si>
    <t>Эмнэлгийн тоног төхөөрөмжийн инженерь техникч нарт зориулсан зохион байгуулах сургалт</t>
  </si>
  <si>
    <t xml:space="preserve">Эмнэлгийн тоног төхөөрөмжийн хөрөнгө төлөвлөлтийн программ хангамж,  сайжруулалт </t>
  </si>
  <si>
    <t>Ш.Энхзаяа /ЭЭТТА-ны дарга/</t>
  </si>
  <si>
    <t>Р.Энхсүрэн /ЭЭТТА-ны мэргэжилтэн /</t>
  </si>
  <si>
    <t>Эм, эмнэлгийн тоног төхөөрөмжийн албаны 2020 оны төсвийн нэгдсэн дүн</t>
  </si>
  <si>
    <t>Орлого</t>
  </si>
  <si>
    <t>Зардал</t>
  </si>
  <si>
    <t>Эм, эмийн түүхий эд, оношлуур, БИБ-ний бүртгэлийн үйл ажиллагаа</t>
  </si>
  <si>
    <t>Эмнэлгийн тоног төхөөрөмжийн шалгалт тохируулгын үйл ажиллагаа</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</si>
</sst>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_(* \(#,##0\);_(* &quot;-&quot;_);_(@_)"/>
    <numFmt numFmtId="44" formatCode="_(&quot;$&quot;* #,##0.00_);_(&quot;$&quot;* \(#,##0.00\);_(&quot;$&quot;* &quot;-&quot;??_);_(@_)"/>
    <numFmt numFmtId="43" formatCode="_(* #,##0.00_);_(* \(#,##0.00\);_(* &quot;-&quot;??_);_(@_)"/>
    <numFmt numFmtId="164" formatCode="#,##0.0"/>
    <numFmt numFmtId="165" formatCode="0.0"/>
    <numFmt numFmtId="166" formatCode="_(* #,##0_);_(* \(#,##0\);_(* &quot;-&quot;??_);_(@_)"/>
    <numFmt numFmtId="167" formatCode="_(* #,##0.0_);_(* \(#,##0.0\);_(* &quot;-&quot;??_);_(@_)"/>
    <numFmt numFmtId="168" formatCode="_-* #,##0.00_₮_-;\-* #,##0.00_₮_-;_-* &quot;-&quot;??_₮_-;_-@_-"/>
    <numFmt numFmtId="169" formatCode="_-* #,##0.00_-;\-* #,##0.00_-;_-* &quot;-&quot;??_-;_-@_-"/>
    <numFmt numFmtId="170" formatCode="_-* #,##0.0_-;\-* #,##0.0_-;_-* &quot;-&quot;??_-;_-@_-"/>
    <numFmt numFmtId="171" formatCode="_-* #,##0_₮_-;\-* #,##0_₮_-;_-* &quot;-&quot;??_₮_-;_-@_-"/>
    <numFmt numFmtId="172" formatCode="_(* #,##0.0_);_(* \(#,##0.0\);_(* &quot;-&quot;?_);_(@_)"/>
  </numFmts>
  <fonts count="100">
    <font>
      <sz val="10"/>
      <name val="Arial Mon"/>
      <family val="2"/>
    </font>
    <font>
      <sz val="11"/>
      <color theme="1"/>
      <name val="Calibri"/>
      <family val="2"/>
      <scheme val="minor"/>
    </font>
    <font>
      <sz val="11"/>
      <color theme="1"/>
      <name val="Calibri"/>
      <family val="2"/>
      <scheme val="minor"/>
    </font>
    <font>
      <sz val="11"/>
      <color theme="1"/>
      <name val="Calibri"/>
      <family val="2"/>
      <scheme val="minor"/>
    </font>
    <font>
      <sz val="10"/>
      <name val="Arial Mon"/>
      <family val="2"/>
    </font>
    <font>
      <sz val="10"/>
      <name val="Arial"/>
      <family val="2"/>
    </font>
    <font>
      <sz val="8"/>
      <color indexed="81"/>
      <name val="Tahoma"/>
      <family val="2"/>
    </font>
    <font>
      <sz val="10"/>
      <name val="Arial"/>
      <family val="2"/>
    </font>
    <font>
      <sz val="11"/>
      <color theme="1"/>
      <name val="Calibri"/>
      <family val="2"/>
      <scheme val="minor"/>
    </font>
    <font>
      <b/>
      <sz val="10"/>
      <name val="Arial"/>
      <family val="2"/>
    </font>
    <font>
      <sz val="10"/>
      <name val="Arial"/>
      <family val="2"/>
      <charset val="204"/>
    </font>
    <font>
      <sz val="10"/>
      <color theme="1"/>
      <name val="Arial Narrow"/>
      <family val="2"/>
    </font>
    <font>
      <sz val="11"/>
      <color theme="1"/>
      <name val="Calibri"/>
      <family val="2"/>
      <charset val="1"/>
      <scheme val="minor"/>
    </font>
    <font>
      <sz val="11"/>
      <color indexed="8"/>
      <name val="Calibri"/>
      <family val="2"/>
    </font>
    <font>
      <b/>
      <sz val="9"/>
      <name val="Arial Mon"/>
      <family val="2"/>
    </font>
    <font>
      <sz val="10"/>
      <color rgb="FF000000"/>
      <name val="Arial"/>
      <family val="2"/>
    </font>
    <font>
      <sz val="9"/>
      <name val="Arial"/>
      <family val="2"/>
    </font>
    <font>
      <b/>
      <sz val="10"/>
      <color theme="1"/>
      <name val="Arial"/>
      <family val="2"/>
    </font>
    <font>
      <sz val="11"/>
      <name val="Calibri"/>
      <family val="2"/>
    </font>
    <font>
      <b/>
      <sz val="11"/>
      <name val="Arial"/>
      <family val="2"/>
    </font>
    <font>
      <sz val="11"/>
      <name val="Arial"/>
      <family val="2"/>
    </font>
    <font>
      <sz val="8"/>
      <color rgb="FF000000"/>
      <name val="Arial"/>
      <family val="2"/>
    </font>
    <font>
      <sz val="9"/>
      <name val="Arial Mon"/>
      <family val="2"/>
    </font>
    <font>
      <sz val="12"/>
      <color theme="1"/>
      <name val="Arial"/>
      <family val="2"/>
    </font>
    <font>
      <sz val="11"/>
      <color rgb="FF000000"/>
      <name val="Arial"/>
      <family val="2"/>
    </font>
    <font>
      <sz val="11"/>
      <color theme="1"/>
      <name val="Arial"/>
      <family val="2"/>
    </font>
    <font>
      <u/>
      <sz val="10"/>
      <color theme="10"/>
      <name val="Arial Mon"/>
      <family val="2"/>
    </font>
    <font>
      <sz val="10"/>
      <color theme="1"/>
      <name val="Arial"/>
      <family val="2"/>
    </font>
    <font>
      <sz val="9"/>
      <color theme="1"/>
      <name val="Arial"/>
      <family val="2"/>
    </font>
    <font>
      <sz val="9"/>
      <color theme="1"/>
      <name val="Arial Mon"/>
      <family val="2"/>
    </font>
    <font>
      <sz val="9"/>
      <color rgb="FF000000"/>
      <name val="Arial"/>
      <family val="2"/>
    </font>
    <font>
      <b/>
      <sz val="9"/>
      <name val="Arial"/>
      <family val="2"/>
    </font>
    <font>
      <b/>
      <sz val="9"/>
      <color theme="1"/>
      <name val="Arial"/>
      <family val="2"/>
    </font>
    <font>
      <sz val="9"/>
      <color rgb="FF000000"/>
      <name val="Tahoma"/>
      <family val="2"/>
    </font>
    <font>
      <sz val="9"/>
      <name val="Calibri"/>
      <family val="2"/>
    </font>
    <font>
      <sz val="9"/>
      <color rgb="FF000000"/>
      <name val="Arial Mon"/>
      <family val="2"/>
    </font>
    <font>
      <b/>
      <sz val="9"/>
      <color theme="1"/>
      <name val="Arial Mon"/>
      <family val="2"/>
    </font>
    <font>
      <b/>
      <sz val="9"/>
      <color rgb="FF000000"/>
      <name val="Arial Mon"/>
      <family val="2"/>
    </font>
    <font>
      <u/>
      <sz val="9"/>
      <color theme="10"/>
      <name val="Arial Mon"/>
      <family val="2"/>
    </font>
    <font>
      <sz val="8"/>
      <color theme="1"/>
      <name val="Arial"/>
      <family val="2"/>
    </font>
    <font>
      <b/>
      <sz val="8"/>
      <color rgb="FF000000"/>
      <name val="Arial"/>
      <family val="2"/>
    </font>
    <font>
      <sz val="8"/>
      <name val="Arial"/>
      <family val="2"/>
    </font>
    <font>
      <b/>
      <sz val="8"/>
      <color theme="1"/>
      <name val="Arial"/>
      <family val="2"/>
    </font>
    <font>
      <b/>
      <sz val="8"/>
      <name val="Arial"/>
      <family val="2"/>
    </font>
    <font>
      <b/>
      <sz val="10"/>
      <color rgb="FF000000"/>
      <name val="Arial"/>
      <family val="2"/>
    </font>
    <font>
      <sz val="9"/>
      <color rgb="FFFF0000"/>
      <name val="Arial"/>
      <family val="2"/>
    </font>
    <font>
      <i/>
      <sz val="9"/>
      <name val="Arial"/>
      <family val="2"/>
    </font>
    <font>
      <b/>
      <sz val="9"/>
      <color rgb="FFFF0000"/>
      <name val="Arial"/>
      <family val="2"/>
    </font>
    <font>
      <i/>
      <sz val="9"/>
      <color rgb="FFFF0000"/>
      <name val="Arial"/>
      <family val="2"/>
    </font>
    <font>
      <b/>
      <i/>
      <sz val="10"/>
      <name val="Arial"/>
      <family val="2"/>
    </font>
    <font>
      <i/>
      <sz val="10"/>
      <color theme="1"/>
      <name val="Arial"/>
      <family val="2"/>
    </font>
    <font>
      <b/>
      <sz val="10"/>
      <color rgb="FFFF0000"/>
      <name val="Arial"/>
      <family val="2"/>
    </font>
    <font>
      <sz val="11"/>
      <color theme="1"/>
      <name val="Arial Mon"/>
      <family val="2"/>
    </font>
    <font>
      <b/>
      <sz val="11"/>
      <color theme="1"/>
      <name val="Arial Mon"/>
      <family val="2"/>
    </font>
    <font>
      <b/>
      <sz val="12"/>
      <color theme="1"/>
      <name val="Arial Mon"/>
      <family val="2"/>
    </font>
    <font>
      <b/>
      <i/>
      <sz val="11"/>
      <color theme="1"/>
      <name val="Arial Mon"/>
      <family val="2"/>
    </font>
    <font>
      <u/>
      <sz val="11"/>
      <color theme="1"/>
      <name val="Arial Mon"/>
      <family val="2"/>
    </font>
    <font>
      <sz val="10"/>
      <color theme="1"/>
      <name val="Arial Mon"/>
      <family val="2"/>
    </font>
    <font>
      <sz val="8"/>
      <color theme="1"/>
      <name val="Arial Mon"/>
      <family val="2"/>
    </font>
    <font>
      <b/>
      <sz val="10"/>
      <color theme="1"/>
      <name val="Arial Mon"/>
      <family val="2"/>
    </font>
    <font>
      <b/>
      <u/>
      <sz val="11"/>
      <color theme="1"/>
      <name val="Arial Mon"/>
      <family val="2"/>
    </font>
    <font>
      <sz val="9"/>
      <color indexed="81"/>
      <name val="Tahoma"/>
      <family val="2"/>
    </font>
    <font>
      <b/>
      <sz val="9"/>
      <color indexed="81"/>
      <name val="Tahoma"/>
      <family val="2"/>
    </font>
    <font>
      <b/>
      <sz val="11"/>
      <color theme="1"/>
      <name val="Calibri"/>
      <family val="2"/>
      <scheme val="minor"/>
    </font>
    <font>
      <b/>
      <sz val="10"/>
      <name val="Arial Mon"/>
      <family val="2"/>
    </font>
    <font>
      <i/>
      <sz val="10"/>
      <name val="Arial Mon"/>
      <family val="2"/>
    </font>
    <font>
      <b/>
      <sz val="11"/>
      <name val="Arial Mon"/>
      <family val="2"/>
    </font>
    <font>
      <sz val="11"/>
      <name val="Calibri"/>
      <family val="2"/>
      <scheme val="minor"/>
    </font>
    <font>
      <b/>
      <sz val="11"/>
      <color rgb="FF000000"/>
      <name val="Arial"/>
      <family val="2"/>
    </font>
    <font>
      <sz val="12"/>
      <color rgb="FF000000"/>
      <name val="Arial"/>
      <family val="2"/>
    </font>
    <font>
      <sz val="12"/>
      <name val="Arial"/>
      <family val="2"/>
    </font>
    <font>
      <b/>
      <sz val="12"/>
      <color rgb="FF000000"/>
      <name val="Arial"/>
      <family val="2"/>
    </font>
    <font>
      <sz val="7"/>
      <color rgb="FF000000"/>
      <name val="Times New Roman"/>
      <family val="1"/>
    </font>
    <font>
      <b/>
      <sz val="12"/>
      <name val="Arial"/>
      <family val="2"/>
    </font>
    <font>
      <i/>
      <sz val="10"/>
      <color rgb="FF000000"/>
      <name val="Arial"/>
      <family val="2"/>
    </font>
    <font>
      <b/>
      <sz val="11"/>
      <color theme="1"/>
      <name val="Arial"/>
      <family val="2"/>
    </font>
    <font>
      <b/>
      <sz val="12"/>
      <color theme="1"/>
      <name val="Arial"/>
      <family val="2"/>
    </font>
    <font>
      <u/>
      <sz val="12"/>
      <color theme="1"/>
      <name val="Arial"/>
      <family val="2"/>
    </font>
    <font>
      <i/>
      <sz val="11"/>
      <color rgb="FF000000"/>
      <name val="Arial"/>
      <family val="2"/>
    </font>
    <font>
      <i/>
      <sz val="11"/>
      <color theme="1"/>
      <name val="Arial"/>
      <family val="2"/>
    </font>
    <font>
      <b/>
      <sz val="7"/>
      <color theme="1"/>
      <name val="Times New Roman"/>
      <family val="1"/>
    </font>
    <font>
      <i/>
      <sz val="8"/>
      <color rgb="FF000000"/>
      <name val="Arial"/>
      <family val="2"/>
    </font>
    <font>
      <u/>
      <sz val="11"/>
      <color theme="1"/>
      <name val="Arial"/>
      <family val="2"/>
    </font>
    <font>
      <b/>
      <sz val="12"/>
      <name val="Arial Mon"/>
      <family val="2"/>
    </font>
    <font>
      <sz val="8"/>
      <name val="FBMOArial"/>
      <family val="2"/>
      <charset val="204"/>
    </font>
    <font>
      <sz val="10"/>
      <color rgb="FFFF0000"/>
      <name val="Arial"/>
      <family val="2"/>
    </font>
    <font>
      <sz val="8"/>
      <color theme="1"/>
      <name val="Calibri"/>
      <family val="2"/>
      <scheme val="minor"/>
    </font>
    <font>
      <sz val="11"/>
      <color rgb="FFFF0000"/>
      <name val="Arial"/>
      <family val="2"/>
    </font>
    <font>
      <sz val="11"/>
      <color theme="1"/>
      <name val="Calibri"/>
      <family val="2"/>
      <charset val="204"/>
      <scheme val="minor"/>
    </font>
    <font>
      <b/>
      <sz val="10"/>
      <name val="Arial"/>
      <family val="2"/>
      <charset val="204"/>
    </font>
    <font>
      <b/>
      <sz val="11"/>
      <color theme="1"/>
      <name val="Calibri"/>
      <family val="2"/>
      <charset val="204"/>
      <scheme val="minor"/>
    </font>
    <font>
      <sz val="9"/>
      <color rgb="FFFF0000"/>
      <name val="Arial"/>
      <family val="2"/>
      <charset val="204"/>
    </font>
    <font>
      <b/>
      <sz val="11"/>
      <name val="Arial"/>
      <family val="2"/>
      <charset val="204"/>
    </font>
    <font>
      <b/>
      <sz val="9"/>
      <name val="Arial"/>
      <family val="2"/>
      <charset val="204"/>
    </font>
    <font>
      <b/>
      <sz val="8"/>
      <name val="FBMOArial"/>
    </font>
    <font>
      <sz val="8"/>
      <name val="FBMOArial"/>
    </font>
    <font>
      <vertAlign val="superscript"/>
      <sz val="11"/>
      <color theme="1"/>
      <name val="Arial"/>
      <family val="2"/>
    </font>
    <font>
      <sz val="11"/>
      <color rgb="FF000000"/>
      <name val="Calibri"/>
      <family val="2"/>
      <scheme val="minor"/>
    </font>
    <font>
      <b/>
      <i/>
      <sz val="11"/>
      <name val="Arial"/>
      <family val="2"/>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00"/>
        <bgColor indexed="64"/>
      </patternFill>
    </fill>
    <fill>
      <patternFill patternType="solid">
        <fgColor rgb="FFA6A6A6"/>
        <bgColor indexed="64"/>
      </patternFill>
    </fill>
    <fill>
      <patternFill patternType="solid">
        <fgColor rgb="FF8DB4E2"/>
        <bgColor indexed="64"/>
      </patternFill>
    </fill>
    <fill>
      <patternFill patternType="solid">
        <fgColor rgb="FFBFBFBF"/>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7E6E6"/>
        <bgColor indexed="64"/>
      </patternFill>
    </fill>
    <fill>
      <patternFill patternType="solid">
        <fgColor indexed="22"/>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style="medium">
        <color rgb="FF000000"/>
      </top>
      <bottom style="medium">
        <color rgb="FF000000"/>
      </bottom>
      <diagonal/>
    </border>
  </borders>
  <cellStyleXfs count="8644">
    <xf numFmtId="0" fontId="0"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NumberFormat="0" applyFill="0" applyBorder="0" applyAlignment="0" applyProtection="0"/>
    <xf numFmtId="43" fontId="7" fillId="0" borderId="0" applyFont="0" applyFill="0" applyBorder="0" applyAlignment="0" applyProtection="0"/>
    <xf numFmtId="0" fontId="5" fillId="0" borderId="0"/>
    <xf numFmtId="0" fontId="5" fillId="0" borderId="0"/>
    <xf numFmtId="0" fontId="8" fillId="0" borderId="0"/>
    <xf numFmtId="0" fontId="7" fillId="0" borderId="0"/>
    <xf numFmtId="43" fontId="4" fillId="0" borderId="0" applyFont="0" applyFill="0" applyBorder="0" applyAlignment="0" applyProtection="0"/>
    <xf numFmtId="0" fontId="10" fillId="0" borderId="0"/>
    <xf numFmtId="0" fontId="11" fillId="0" borderId="0"/>
    <xf numFmtId="0" fontId="3" fillId="0" borderId="0"/>
    <xf numFmtId="43" fontId="3"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8"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Font="0" applyFill="0" applyBorder="0" applyAlignment="0" applyProtection="0"/>
    <xf numFmtId="169" fontId="11"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3" fillId="0" borderId="0"/>
    <xf numFmtId="0" fontId="10" fillId="0" borderId="0"/>
    <xf numFmtId="0" fontId="10" fillId="0" borderId="0"/>
    <xf numFmtId="0" fontId="3"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3" fillId="0" borderId="0"/>
    <xf numFmtId="0" fontId="3" fillId="0" borderId="0"/>
    <xf numFmtId="0" fontId="3" fillId="0" borderId="0"/>
    <xf numFmtId="0" fontId="10" fillId="0" borderId="0"/>
    <xf numFmtId="0" fontId="10" fillId="0" borderId="0"/>
    <xf numFmtId="0" fontId="10"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10"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26" fillId="0" borderId="0" applyNumberFormat="0" applyFill="0" applyBorder="0" applyAlignment="0" applyProtection="0">
      <alignment vertical="top"/>
      <protection locked="0"/>
    </xf>
    <xf numFmtId="41" fontId="4" fillId="0" borderId="0" applyFont="0" applyFill="0" applyBorder="0" applyAlignment="0" applyProtection="0"/>
    <xf numFmtId="0" fontId="12" fillId="0" borderId="0"/>
    <xf numFmtId="0" fontId="1" fillId="0" borderId="0"/>
    <xf numFmtId="0" fontId="1" fillId="0" borderId="0"/>
  </cellStyleXfs>
  <cellXfs count="1805">
    <xf numFmtId="0" fontId="0" fillId="0" borderId="0" xfId="0"/>
    <xf numFmtId="0" fontId="10" fillId="0" borderId="0" xfId="0" applyFont="1"/>
    <xf numFmtId="164" fontId="10" fillId="0" borderId="0" xfId="0" applyNumberFormat="1"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xf>
    <xf numFmtId="0" fontId="10" fillId="0" borderId="0" xfId="5" applyFont="1" applyFill="1" applyAlignment="1">
      <alignment vertical="center" wrapText="1"/>
    </xf>
    <xf numFmtId="0" fontId="10" fillId="0" borderId="0" xfId="0" applyNumberFormat="1" applyFont="1" applyAlignment="1">
      <alignment horizontal="center"/>
    </xf>
    <xf numFmtId="0" fontId="10" fillId="2" borderId="0" xfId="0" applyFont="1" applyFill="1"/>
    <xf numFmtId="0" fontId="16" fillId="0" borderId="1" xfId="0" applyFont="1" applyBorder="1" applyAlignment="1">
      <alignment horizontal="center" vertical="center" wrapText="1"/>
    </xf>
    <xf numFmtId="0" fontId="0" fillId="0" borderId="1" xfId="0" applyBorder="1"/>
    <xf numFmtId="0" fontId="9" fillId="0" borderId="0" xfId="0" applyFont="1" applyAlignment="1">
      <alignment vertical="center"/>
    </xf>
    <xf numFmtId="0" fontId="18" fillId="0" borderId="0" xfId="0" applyFont="1"/>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vertical="top" wrapText="1"/>
    </xf>
    <xf numFmtId="0" fontId="19"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22" fillId="0" borderId="1" xfId="0" applyFont="1" applyFill="1" applyBorder="1" applyAlignment="1">
      <alignment horizontal="center" vertical="center" wrapText="1"/>
    </xf>
    <xf numFmtId="0" fontId="23" fillId="0" borderId="0" xfId="0" applyFont="1"/>
    <xf numFmtId="0" fontId="23" fillId="0" borderId="1" xfId="0" applyFont="1" applyBorder="1" applyAlignment="1">
      <alignment horizontal="center" vertical="center" wrapText="1"/>
    </xf>
    <xf numFmtId="0" fontId="17" fillId="0" borderId="1" xfId="0" applyFont="1" applyFill="1" applyBorder="1" applyAlignment="1">
      <alignment horizontal="center"/>
    </xf>
    <xf numFmtId="0" fontId="25" fillId="0" borderId="1" xfId="0" applyFont="1" applyBorder="1"/>
    <xf numFmtId="167" fontId="25" fillId="0" borderId="1" xfId="8638" applyNumberFormat="1" applyFont="1" applyBorder="1"/>
    <xf numFmtId="167" fontId="25" fillId="0" borderId="1" xfId="0" applyNumberFormat="1" applyFont="1" applyBorder="1"/>
    <xf numFmtId="0" fontId="0" fillId="0" borderId="1" xfId="0" applyBorder="1" applyAlignment="1">
      <alignment vertical="top" wrapText="1"/>
    </xf>
    <xf numFmtId="0" fontId="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9" fillId="0" borderId="1" xfId="0" applyFont="1" applyBorder="1" applyAlignment="1">
      <alignment horizontal="center" vertical="center" wrapText="1"/>
    </xf>
    <xf numFmtId="167" fontId="0" fillId="0" borderId="1" xfId="9" applyNumberFormat="1" applyFont="1" applyBorder="1" applyAlignment="1">
      <alignment vertical="top"/>
    </xf>
    <xf numFmtId="0" fontId="22" fillId="0" borderId="0" xfId="0" applyFont="1"/>
    <xf numFmtId="0" fontId="22" fillId="0" borderId="1" xfId="0" applyFont="1" applyBorder="1"/>
    <xf numFmtId="0" fontId="22" fillId="0" borderId="1" xfId="0" applyFont="1" applyBorder="1" applyAlignment="1">
      <alignment horizontal="center" vertical="center"/>
    </xf>
    <xf numFmtId="0" fontId="16" fillId="0" borderId="0" xfId="0" applyFont="1"/>
    <xf numFmtId="0" fontId="31" fillId="0" borderId="0" xfId="0" applyFont="1"/>
    <xf numFmtId="0" fontId="16" fillId="0" borderId="0" xfId="0" applyFont="1" applyBorder="1"/>
    <xf numFmtId="0" fontId="31"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vertical="center" wrapText="1"/>
    </xf>
    <xf numFmtId="171" fontId="16" fillId="0" borderId="1" xfId="9" applyNumberFormat="1" applyFont="1" applyBorder="1" applyAlignment="1">
      <alignment vertical="center" wrapText="1"/>
    </xf>
    <xf numFmtId="0" fontId="31" fillId="0" borderId="1" xfId="0" applyFont="1" applyBorder="1" applyAlignment="1">
      <alignment horizontal="center" vertical="center"/>
    </xf>
    <xf numFmtId="171" fontId="31" fillId="0" borderId="1" xfId="9" applyNumberFormat="1" applyFont="1" applyBorder="1" applyAlignment="1">
      <alignment horizontal="center" vertical="center" wrapText="1"/>
    </xf>
    <xf numFmtId="171" fontId="16" fillId="0" borderId="1" xfId="9" applyNumberFormat="1" applyFont="1" applyBorder="1" applyAlignment="1">
      <alignment horizontal="center" vertical="center" wrapText="1"/>
    </xf>
    <xf numFmtId="0" fontId="16" fillId="0" borderId="1" xfId="0" applyFont="1" applyBorder="1" applyAlignment="1">
      <alignment horizontal="center" vertical="top" wrapText="1"/>
    </xf>
    <xf numFmtId="0" fontId="31" fillId="0" borderId="1" xfId="0" applyFont="1" applyBorder="1" applyAlignment="1">
      <alignment horizontal="justify" vertical="top" wrapText="1"/>
    </xf>
    <xf numFmtId="0" fontId="16" fillId="0" borderId="1" xfId="0" applyFont="1" applyBorder="1" applyAlignment="1">
      <alignment horizontal="justify" vertical="top" wrapText="1"/>
    </xf>
    <xf numFmtId="171" fontId="31"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0" fontId="22" fillId="0" borderId="0" xfId="0" applyFont="1" applyAlignment="1">
      <alignment vertical="top" wrapText="1"/>
    </xf>
    <xf numFmtId="0" fontId="22" fillId="0" borderId="0" xfId="0" applyFont="1" applyBorder="1" applyAlignment="1">
      <alignment horizontal="center" vertical="top" wrapText="1"/>
    </xf>
    <xf numFmtId="0" fontId="22" fillId="0" borderId="1" xfId="0" applyFont="1" applyBorder="1" applyAlignment="1">
      <alignment horizontal="center" vertical="center" wrapText="1"/>
    </xf>
    <xf numFmtId="0" fontId="22" fillId="0" borderId="1" xfId="0" applyFont="1" applyBorder="1" applyAlignment="1">
      <alignment wrapText="1"/>
    </xf>
    <xf numFmtId="0" fontId="22" fillId="0" borderId="1" xfId="0" applyFont="1" applyBorder="1" applyAlignment="1">
      <alignment horizontal="left" vertical="center" wrapText="1"/>
    </xf>
    <xf numFmtId="171" fontId="14" fillId="0" borderId="1" xfId="9" applyNumberFormat="1" applyFont="1" applyBorder="1"/>
    <xf numFmtId="0" fontId="14" fillId="0" borderId="0" xfId="0" applyFont="1" applyBorder="1" applyAlignment="1">
      <alignment horizontal="center"/>
    </xf>
    <xf numFmtId="0" fontId="22" fillId="0" borderId="0" xfId="0" applyFont="1" applyBorder="1"/>
    <xf numFmtId="0" fontId="14" fillId="0" borderId="0" xfId="0" applyFont="1" applyBorder="1"/>
    <xf numFmtId="0" fontId="22" fillId="0" borderId="0" xfId="0" applyFont="1" applyAlignment="1">
      <alignment wrapText="1"/>
    </xf>
    <xf numFmtId="0" fontId="22" fillId="0" borderId="0" xfId="0" applyFont="1" applyBorder="1" applyAlignment="1">
      <alignment horizontal="center"/>
    </xf>
    <xf numFmtId="0" fontId="22" fillId="0" borderId="0" xfId="0" applyFont="1" applyBorder="1" applyAlignment="1">
      <alignment wrapText="1"/>
    </xf>
    <xf numFmtId="0" fontId="22" fillId="0" borderId="0" xfId="0" applyFont="1" applyBorder="1" applyAlignment="1">
      <alignment horizontal="center" wrapText="1"/>
    </xf>
    <xf numFmtId="0" fontId="22" fillId="0" borderId="1" xfId="0" applyFont="1" applyBorder="1" applyAlignment="1">
      <alignment horizontal="center" wrapText="1"/>
    </xf>
    <xf numFmtId="0" fontId="22" fillId="0" borderId="1" xfId="0" applyFont="1" applyBorder="1" applyAlignment="1">
      <alignment horizontal="right" vertical="center" wrapText="1"/>
    </xf>
    <xf numFmtId="0" fontId="22" fillId="0" borderId="1" xfId="0" applyFont="1" applyBorder="1" applyAlignment="1">
      <alignment horizontal="center"/>
    </xf>
    <xf numFmtId="0" fontId="22" fillId="0" borderId="1" xfId="0" applyFont="1" applyFill="1" applyBorder="1" applyAlignment="1">
      <alignment horizontal="left" vertical="center" wrapText="1"/>
    </xf>
    <xf numFmtId="0" fontId="22" fillId="0" borderId="1" xfId="0" applyFont="1" applyFill="1" applyBorder="1" applyAlignment="1">
      <alignment horizontal="right" vertical="center" wrapText="1"/>
    </xf>
    <xf numFmtId="0" fontId="32" fillId="0" borderId="1" xfId="0" applyFont="1" applyBorder="1" applyAlignment="1">
      <alignment horizontal="left" vertical="top"/>
    </xf>
    <xf numFmtId="0" fontId="28" fillId="0" borderId="1" xfId="0" applyFont="1" applyBorder="1" applyAlignment="1">
      <alignment horizontal="left" vertical="top"/>
    </xf>
    <xf numFmtId="167" fontId="22" fillId="0" borderId="1" xfId="9" applyNumberFormat="1" applyFont="1" applyBorder="1"/>
    <xf numFmtId="0" fontId="31" fillId="0" borderId="0" xfId="0" applyFont="1" applyAlignment="1">
      <alignment horizontal="center"/>
    </xf>
    <xf numFmtId="0" fontId="22" fillId="0" borderId="0" xfId="0" applyFont="1" applyAlignment="1">
      <alignment vertical="top"/>
    </xf>
    <xf numFmtId="0" fontId="30" fillId="8" borderId="1" xfId="0" applyFont="1" applyFill="1" applyBorder="1" applyAlignment="1">
      <alignment horizontal="center" vertical="top"/>
    </xf>
    <xf numFmtId="0" fontId="30" fillId="0" borderId="1" xfId="0" applyFont="1" applyBorder="1" applyAlignment="1">
      <alignment vertical="top" wrapText="1"/>
    </xf>
    <xf numFmtId="0" fontId="30" fillId="0" borderId="1" xfId="0" applyFont="1" applyBorder="1" applyAlignment="1">
      <alignment vertical="top"/>
    </xf>
    <xf numFmtId="0" fontId="34" fillId="10" borderId="1" xfId="0" applyFont="1" applyFill="1" applyBorder="1" applyAlignment="1">
      <alignment vertical="top"/>
    </xf>
    <xf numFmtId="0" fontId="30" fillId="10" borderId="1" xfId="0" applyFont="1" applyFill="1" applyBorder="1" applyAlignment="1">
      <alignment vertical="top"/>
    </xf>
    <xf numFmtId="0" fontId="30" fillId="10" borderId="1" xfId="0" applyFont="1" applyFill="1" applyBorder="1" applyAlignment="1">
      <alignment vertical="top" wrapText="1"/>
    </xf>
    <xf numFmtId="0" fontId="34" fillId="0" borderId="1" xfId="0" applyFont="1" applyBorder="1" applyAlignment="1">
      <alignment vertical="top"/>
    </xf>
    <xf numFmtId="0" fontId="32" fillId="10" borderId="1" xfId="0" applyFont="1" applyFill="1" applyBorder="1" applyAlignment="1">
      <alignment horizontal="center" vertical="top"/>
    </xf>
    <xf numFmtId="0" fontId="28" fillId="0" borderId="1" xfId="0" applyFont="1" applyBorder="1" applyAlignment="1">
      <alignment vertical="top"/>
    </xf>
    <xf numFmtId="167" fontId="28" fillId="0" borderId="1" xfId="9" applyNumberFormat="1" applyFont="1" applyBorder="1" applyAlignment="1">
      <alignment vertical="top"/>
    </xf>
    <xf numFmtId="0" fontId="28" fillId="0" borderId="1" xfId="0" applyFont="1" applyBorder="1" applyAlignment="1">
      <alignment vertical="top" wrapText="1"/>
    </xf>
    <xf numFmtId="0" fontId="32" fillId="10" borderId="1" xfId="0" applyFont="1" applyFill="1" applyBorder="1" applyAlignment="1">
      <alignment vertical="top"/>
    </xf>
    <xf numFmtId="167" fontId="32" fillId="10" borderId="1" xfId="9" applyNumberFormat="1" applyFont="1" applyFill="1" applyBorder="1" applyAlignment="1">
      <alignment vertical="top"/>
    </xf>
    <xf numFmtId="2" fontId="28" fillId="2" borderId="1" xfId="0" applyNumberFormat="1" applyFont="1" applyFill="1" applyBorder="1" applyAlignment="1">
      <alignment horizontal="center" vertical="top" wrapText="1"/>
    </xf>
    <xf numFmtId="0" fontId="28" fillId="2" borderId="1" xfId="0" applyFont="1" applyFill="1" applyBorder="1" applyAlignment="1">
      <alignment vertical="top" wrapText="1"/>
    </xf>
    <xf numFmtId="0" fontId="28" fillId="2" borderId="1" xfId="0" applyFont="1" applyFill="1" applyBorder="1" applyAlignment="1">
      <alignment horizontal="center" vertical="top" wrapText="1"/>
    </xf>
    <xf numFmtId="167" fontId="28" fillId="2" borderId="1" xfId="9" applyNumberFormat="1" applyFont="1" applyFill="1" applyBorder="1" applyAlignment="1">
      <alignment horizontal="right" vertical="top" wrapText="1"/>
    </xf>
    <xf numFmtId="0" fontId="23" fillId="0" borderId="0" xfId="0" applyFont="1" applyAlignment="1">
      <alignment horizontal="left" vertical="center" indent="4"/>
    </xf>
    <xf numFmtId="166" fontId="23" fillId="0" borderId="0" xfId="9" applyNumberFormat="1" applyFont="1"/>
    <xf numFmtId="0" fontId="24" fillId="0" borderId="1" xfId="0" applyFont="1" applyBorder="1" applyAlignment="1">
      <alignment horizontal="center" vertical="center" wrapText="1"/>
    </xf>
    <xf numFmtId="166" fontId="25" fillId="0" borderId="1" xfId="9" applyNumberFormat="1" applyFont="1" applyBorder="1" applyAlignment="1">
      <alignment horizontal="center" vertical="center" wrapText="1"/>
    </xf>
    <xf numFmtId="166" fontId="24" fillId="0" borderId="1" xfId="9" applyNumberFormat="1" applyFont="1" applyBorder="1" applyAlignment="1">
      <alignment horizontal="center" vertical="center" wrapText="1"/>
    </xf>
    <xf numFmtId="0" fontId="25" fillId="0" borderId="1" xfId="0" applyFont="1" applyBorder="1" applyAlignment="1">
      <alignment vertical="center" wrapText="1"/>
    </xf>
    <xf numFmtId="43" fontId="25" fillId="0" borderId="0" xfId="9" applyFont="1" applyFill="1" applyBorder="1" applyAlignment="1">
      <alignment vertical="center"/>
    </xf>
    <xf numFmtId="3" fontId="22" fillId="0" borderId="1" xfId="0" applyNumberFormat="1" applyFont="1" applyBorder="1"/>
    <xf numFmtId="0" fontId="36" fillId="10" borderId="1" xfId="0" applyFont="1" applyFill="1" applyBorder="1" applyAlignment="1">
      <alignment horizontal="center" vertical="center"/>
    </xf>
    <xf numFmtId="0" fontId="36" fillId="10" borderId="1" xfId="0" applyFont="1" applyFill="1" applyBorder="1"/>
    <xf numFmtId="3" fontId="36" fillId="10" borderId="1" xfId="0" applyNumberFormat="1" applyFont="1" applyFill="1" applyBorder="1"/>
    <xf numFmtId="0" fontId="29" fillId="0" borderId="0" xfId="0" applyFont="1"/>
    <xf numFmtId="0" fontId="37" fillId="0" borderId="9" xfId="0" applyFont="1" applyBorder="1" applyAlignment="1"/>
    <xf numFmtId="0" fontId="37" fillId="0" borderId="1" xfId="0" applyFont="1" applyBorder="1" applyAlignment="1">
      <alignment horizontal="center" vertical="center" wrapText="1"/>
    </xf>
    <xf numFmtId="0" fontId="35" fillId="0" borderId="1" xfId="0" applyFont="1" applyBorder="1" applyAlignment="1">
      <alignment horizontal="center" wrapText="1"/>
    </xf>
    <xf numFmtId="0" fontId="35" fillId="0" borderId="1" xfId="0" applyFont="1" applyBorder="1" applyAlignment="1">
      <alignment horizontal="left" vertical="center"/>
    </xf>
    <xf numFmtId="0" fontId="35" fillId="0" borderId="1" xfId="0" applyFont="1" applyBorder="1" applyAlignment="1">
      <alignment wrapText="1"/>
    </xf>
    <xf numFmtId="0" fontId="35" fillId="0" borderId="1" xfId="0" applyFont="1" applyBorder="1" applyAlignment="1">
      <alignment horizontal="center"/>
    </xf>
    <xf numFmtId="167" fontId="35" fillId="0" borderId="1" xfId="9" applyNumberFormat="1" applyFont="1" applyBorder="1" applyAlignment="1">
      <alignment horizontal="center"/>
    </xf>
    <xf numFmtId="167" fontId="35" fillId="0" borderId="1" xfId="9" applyNumberFormat="1" applyFont="1" applyBorder="1" applyAlignment="1">
      <alignment horizontal="right"/>
    </xf>
    <xf numFmtId="0" fontId="35" fillId="0" borderId="1" xfId="0" applyFont="1" applyBorder="1" applyAlignment="1">
      <alignment horizontal="left" vertical="center" wrapText="1"/>
    </xf>
    <xf numFmtId="0" fontId="35" fillId="0" borderId="1" xfId="0" applyFont="1" applyBorder="1" applyAlignment="1">
      <alignment horizontal="center" vertical="center" wrapText="1"/>
    </xf>
    <xf numFmtId="167" fontId="35" fillId="0" borderId="1" xfId="9" applyNumberFormat="1" applyFont="1" applyBorder="1" applyAlignment="1">
      <alignment horizontal="center" vertical="center" wrapText="1"/>
    </xf>
    <xf numFmtId="167" fontId="35" fillId="0" borderId="1" xfId="9" applyNumberFormat="1" applyFont="1" applyBorder="1" applyAlignment="1">
      <alignment horizontal="right" vertical="center"/>
    </xf>
    <xf numFmtId="0" fontId="35" fillId="0" borderId="7" xfId="0" applyFont="1" applyBorder="1" applyAlignment="1">
      <alignment horizontal="left" vertical="center" wrapText="1"/>
    </xf>
    <xf numFmtId="0" fontId="35" fillId="0" borderId="7" xfId="0" applyFont="1" applyBorder="1" applyAlignment="1">
      <alignment horizontal="center" wrapText="1"/>
    </xf>
    <xf numFmtId="167" fontId="35" fillId="0" borderId="1" xfId="9" applyNumberFormat="1" applyFont="1" applyBorder="1"/>
    <xf numFmtId="167" fontId="35" fillId="0" borderId="7" xfId="9" applyNumberFormat="1" applyFont="1" applyBorder="1" applyAlignment="1">
      <alignment horizontal="right"/>
    </xf>
    <xf numFmtId="0" fontId="35" fillId="0" borderId="8" xfId="0" applyFont="1" applyBorder="1" applyAlignment="1">
      <alignment horizontal="left" vertical="center" wrapText="1"/>
    </xf>
    <xf numFmtId="167" fontId="35" fillId="0" borderId="1" xfId="9" applyNumberFormat="1" applyFont="1" applyBorder="1" applyAlignment="1">
      <alignment horizontal="center" vertical="center"/>
    </xf>
    <xf numFmtId="167" fontId="37" fillId="0" borderId="1" xfId="9" applyNumberFormat="1" applyFont="1" applyBorder="1" applyAlignment="1">
      <alignment horizontal="right" vertical="center" wrapText="1"/>
    </xf>
    <xf numFmtId="0" fontId="36" fillId="0" borderId="1" xfId="0" applyFont="1" applyBorder="1" applyAlignment="1">
      <alignment horizontal="center" vertical="center" wrapText="1"/>
    </xf>
    <xf numFmtId="0" fontId="29" fillId="0" borderId="1" xfId="0" applyFont="1" applyBorder="1" applyAlignment="1">
      <alignment vertical="center"/>
    </xf>
    <xf numFmtId="0" fontId="29" fillId="0" borderId="1" xfId="0" applyFont="1" applyBorder="1" applyAlignment="1">
      <alignment vertical="center" wrapText="1"/>
    </xf>
    <xf numFmtId="0" fontId="29" fillId="0" borderId="1" xfId="0" applyFont="1" applyBorder="1"/>
    <xf numFmtId="0" fontId="29" fillId="0" borderId="1" xfId="0" applyFont="1" applyBorder="1" applyAlignment="1">
      <alignment horizontal="center" vertical="center"/>
    </xf>
    <xf numFmtId="166" fontId="29" fillId="0" borderId="1" xfId="9" applyNumberFormat="1" applyFont="1" applyBorder="1" applyAlignment="1">
      <alignment horizontal="center" vertical="center"/>
    </xf>
    <xf numFmtId="0" fontId="29" fillId="0" borderId="1" xfId="0" applyFont="1" applyBorder="1" applyAlignment="1">
      <alignment wrapText="1"/>
    </xf>
    <xf numFmtId="166" fontId="29" fillId="0" borderId="1" xfId="9" applyNumberFormat="1" applyFont="1" applyBorder="1"/>
    <xf numFmtId="0" fontId="36" fillId="0" borderId="1" xfId="0" applyFont="1" applyBorder="1"/>
    <xf numFmtId="166" fontId="36" fillId="0" borderId="1" xfId="9" applyNumberFormat="1" applyFont="1" applyBorder="1"/>
    <xf numFmtId="166" fontId="22" fillId="0" borderId="0" xfId="0" applyNumberFormat="1" applyFont="1"/>
    <xf numFmtId="0" fontId="29" fillId="0" borderId="0" xfId="0" applyFont="1" applyAlignment="1">
      <alignment vertical="center"/>
    </xf>
    <xf numFmtId="166" fontId="29" fillId="0" borderId="0" xfId="9" applyNumberFormat="1" applyFont="1" applyAlignment="1">
      <alignment vertical="center"/>
    </xf>
    <xf numFmtId="0" fontId="29" fillId="0" borderId="1" xfId="0" applyFont="1" applyBorder="1" applyAlignment="1">
      <alignment horizontal="center" vertical="center" wrapText="1"/>
    </xf>
    <xf numFmtId="166" fontId="36" fillId="0" borderId="1" xfId="9" applyNumberFormat="1" applyFont="1" applyBorder="1" applyAlignment="1">
      <alignment horizontal="center" vertical="center" wrapText="1"/>
    </xf>
    <xf numFmtId="0" fontId="38" fillId="0" borderId="1" xfId="8639" applyFont="1" applyBorder="1" applyAlignment="1" applyProtection="1">
      <alignment horizontal="center" vertical="center" wrapText="1"/>
    </xf>
    <xf numFmtId="0" fontId="36" fillId="0" borderId="1" xfId="0" applyFont="1" applyBorder="1" applyAlignment="1">
      <alignment horizontal="center" vertical="center"/>
    </xf>
    <xf numFmtId="166" fontId="36" fillId="0" borderId="1" xfId="9" applyNumberFormat="1" applyFont="1" applyBorder="1" applyAlignment="1">
      <alignment horizontal="center" vertical="center"/>
    </xf>
    <xf numFmtId="0" fontId="0" fillId="0" borderId="1" xfId="0" applyBorder="1" applyAlignment="1">
      <alignment vertical="top"/>
    </xf>
    <xf numFmtId="3" fontId="29" fillId="0" borderId="1" xfId="0" applyNumberFormat="1" applyFont="1" applyBorder="1" applyAlignment="1">
      <alignment horizontal="center" vertical="center" wrapText="1"/>
    </xf>
    <xf numFmtId="0" fontId="35" fillId="0" borderId="0" xfId="0" applyFont="1" applyBorder="1" applyAlignment="1">
      <alignment wrapText="1"/>
    </xf>
    <xf numFmtId="0" fontId="35" fillId="0" borderId="0" xfId="0" applyFont="1" applyBorder="1" applyAlignment="1"/>
    <xf numFmtId="0" fontId="22" fillId="0" borderId="0" xfId="0" applyFont="1" applyBorder="1" applyAlignment="1"/>
    <xf numFmtId="0" fontId="14" fillId="0" borderId="1" xfId="0" applyFont="1" applyBorder="1" applyAlignment="1">
      <alignment horizontal="center"/>
    </xf>
    <xf numFmtId="0" fontId="14" fillId="0" borderId="2" xfId="0" applyFont="1" applyBorder="1" applyAlignment="1">
      <alignment horizontal="center"/>
    </xf>
    <xf numFmtId="0" fontId="22" fillId="0" borderId="3" xfId="0" applyFont="1" applyBorder="1" applyAlignment="1">
      <alignment horizontal="left" vertical="top" wrapText="1"/>
    </xf>
    <xf numFmtId="3" fontId="22" fillId="0" borderId="1" xfId="0" applyNumberFormat="1" applyFont="1" applyBorder="1" applyAlignment="1">
      <alignment horizontal="right" vertical="top"/>
    </xf>
    <xf numFmtId="0" fontId="35" fillId="0" borderId="1" xfId="0" applyFont="1" applyBorder="1" applyAlignment="1">
      <alignment horizontal="right" vertical="top" wrapText="1"/>
    </xf>
    <xf numFmtId="3" fontId="35" fillId="0" borderId="1" xfId="0" applyNumberFormat="1" applyFont="1" applyBorder="1" applyAlignment="1">
      <alignment horizontal="right" vertical="top" wrapText="1"/>
    </xf>
    <xf numFmtId="0" fontId="22" fillId="0" borderId="1" xfId="0" applyFont="1" applyBorder="1" applyAlignment="1">
      <alignment horizontal="justify" vertical="top" wrapText="1"/>
    </xf>
    <xf numFmtId="0" fontId="35" fillId="0" borderId="1" xfId="0" applyFont="1" applyBorder="1" applyAlignment="1">
      <alignment horizontal="center" vertical="top" wrapText="1"/>
    </xf>
    <xf numFmtId="0" fontId="22" fillId="0" borderId="3" xfId="0" applyFont="1" applyBorder="1" applyAlignment="1">
      <alignment vertical="top" wrapText="1"/>
    </xf>
    <xf numFmtId="3" fontId="14" fillId="0" borderId="2" xfId="0" applyNumberFormat="1" applyFont="1" applyBorder="1"/>
    <xf numFmtId="0" fontId="35" fillId="0" borderId="0" xfId="0" applyFont="1" applyAlignment="1">
      <alignment vertical="top" wrapText="1"/>
    </xf>
    <xf numFmtId="0" fontId="35" fillId="0" borderId="2" xfId="0" applyFont="1" applyBorder="1" applyAlignment="1">
      <alignment horizontal="right" vertical="top" wrapText="1"/>
    </xf>
    <xf numFmtId="3" fontId="35" fillId="0" borderId="2" xfId="0" applyNumberFormat="1" applyFont="1" applyBorder="1" applyAlignment="1">
      <alignment horizontal="right" vertical="top" wrapText="1"/>
    </xf>
    <xf numFmtId="0" fontId="22" fillId="0" borderId="12" xfId="0" applyFont="1" applyBorder="1" applyAlignment="1">
      <alignment vertical="top" wrapText="1"/>
    </xf>
    <xf numFmtId="0" fontId="35" fillId="0" borderId="2" xfId="0" applyFont="1" applyBorder="1" applyAlignment="1">
      <alignment vertical="top" wrapText="1"/>
    </xf>
    <xf numFmtId="3" fontId="35" fillId="3" borderId="1" xfId="0" applyNumberFormat="1" applyFont="1" applyFill="1" applyBorder="1" applyAlignment="1">
      <alignment horizontal="right" vertical="top" wrapText="1"/>
    </xf>
    <xf numFmtId="0" fontId="35" fillId="0" borderId="1" xfId="0" applyFont="1" applyBorder="1" applyAlignment="1">
      <alignment horizontal="justify" vertical="top" wrapText="1"/>
    </xf>
    <xf numFmtId="0" fontId="35" fillId="0" borderId="3" xfId="0" applyFont="1" applyBorder="1" applyAlignment="1">
      <alignment vertical="top" wrapText="1"/>
    </xf>
    <xf numFmtId="0" fontId="35" fillId="0" borderId="1" xfId="0" applyFont="1" applyBorder="1" applyAlignment="1">
      <alignment vertical="top" wrapText="1"/>
    </xf>
    <xf numFmtId="0" fontId="22" fillId="0" borderId="7" xfId="0" applyFont="1" applyBorder="1" applyAlignment="1">
      <alignment vertical="top" wrapText="1"/>
    </xf>
    <xf numFmtId="3" fontId="22" fillId="0" borderId="7" xfId="0" applyNumberFormat="1" applyFont="1" applyBorder="1" applyAlignment="1">
      <alignment vertical="top" wrapText="1"/>
    </xf>
    <xf numFmtId="0" fontId="22" fillId="0" borderId="7" xfId="0" applyFont="1" applyBorder="1" applyAlignment="1">
      <alignment wrapText="1"/>
    </xf>
    <xf numFmtId="3" fontId="14" fillId="0" borderId="1" xfId="0" applyNumberFormat="1" applyFont="1" applyBorder="1" applyAlignment="1">
      <alignment wrapText="1"/>
    </xf>
    <xf numFmtId="0" fontId="22" fillId="0" borderId="2" xfId="0" applyFont="1" applyBorder="1" applyAlignment="1">
      <alignment wrapText="1"/>
    </xf>
    <xf numFmtId="0" fontId="22" fillId="0" borderId="1" xfId="0" applyFont="1" applyBorder="1" applyAlignment="1">
      <alignment horizontal="left" vertical="top" wrapText="1"/>
    </xf>
    <xf numFmtId="3" fontId="35" fillId="0" borderId="0" xfId="0" applyNumberFormat="1" applyFont="1"/>
    <xf numFmtId="3" fontId="22" fillId="0" borderId="3" xfId="0" applyNumberFormat="1" applyFont="1" applyBorder="1" applyAlignment="1">
      <alignment wrapText="1"/>
    </xf>
    <xf numFmtId="0" fontId="22" fillId="0" borderId="1" xfId="0" applyFont="1" applyBorder="1" applyAlignment="1">
      <alignment vertical="top" wrapText="1"/>
    </xf>
    <xf numFmtId="0" fontId="35" fillId="0" borderId="0" xfId="0" applyFont="1" applyAlignment="1">
      <alignment horizontal="left" vertical="top" wrapText="1"/>
    </xf>
    <xf numFmtId="3" fontId="35" fillId="0" borderId="1" xfId="0" applyNumberFormat="1" applyFont="1" applyBorder="1"/>
    <xf numFmtId="0" fontId="35" fillId="0" borderId="1" xfId="0" applyFont="1" applyBorder="1" applyAlignment="1">
      <alignment horizontal="left" vertical="top" wrapText="1"/>
    </xf>
    <xf numFmtId="3" fontId="14" fillId="0" borderId="3" xfId="0" applyNumberFormat="1" applyFont="1" applyBorder="1"/>
    <xf numFmtId="0" fontId="35" fillId="0" borderId="7" xfId="0" applyFont="1" applyBorder="1" applyAlignment="1">
      <alignment horizontal="justify" vertical="top" wrapText="1"/>
    </xf>
    <xf numFmtId="0" fontId="22" fillId="0" borderId="1" xfId="0" applyFont="1" applyBorder="1" applyAlignment="1">
      <alignment horizontal="right" vertical="top"/>
    </xf>
    <xf numFmtId="0" fontId="35" fillId="0" borderId="2" xfId="0" applyFont="1" applyBorder="1" applyAlignment="1">
      <alignment horizontal="left" vertical="top" wrapText="1"/>
    </xf>
    <xf numFmtId="0" fontId="22" fillId="0" borderId="2" xfId="0" applyFont="1" applyBorder="1" applyAlignment="1">
      <alignment horizontal="right" vertical="top"/>
    </xf>
    <xf numFmtId="3" fontId="35" fillId="0" borderId="2" xfId="0" applyNumberFormat="1" applyFont="1" applyBorder="1" applyAlignment="1">
      <alignment horizontal="right" vertical="top"/>
    </xf>
    <xf numFmtId="3" fontId="14" fillId="0" borderId="1" xfId="0" applyNumberFormat="1" applyFont="1" applyBorder="1"/>
    <xf numFmtId="3" fontId="22" fillId="0" borderId="3" xfId="0" applyNumberFormat="1" applyFont="1" applyBorder="1" applyAlignment="1">
      <alignment horizontal="right" vertical="top"/>
    </xf>
    <xf numFmtId="3" fontId="35" fillId="0" borderId="0" xfId="0" applyNumberFormat="1" applyFont="1" applyAlignment="1">
      <alignment horizontal="right" vertical="top"/>
    </xf>
    <xf numFmtId="0" fontId="22" fillId="0" borderId="5" xfId="0" applyFont="1" applyBorder="1"/>
    <xf numFmtId="0" fontId="22" fillId="0" borderId="2" xfId="0" applyFont="1" applyBorder="1" applyAlignment="1">
      <alignment vertical="top" wrapText="1"/>
    </xf>
    <xf numFmtId="0" fontId="0" fillId="0" borderId="0" xfId="0" applyAlignment="1">
      <alignment vertical="top"/>
    </xf>
    <xf numFmtId="0" fontId="22" fillId="0" borderId="1" xfId="0" applyFont="1" applyBorder="1" applyAlignment="1">
      <alignment horizontal="center" vertical="top" wrapText="1"/>
    </xf>
    <xf numFmtId="0" fontId="22" fillId="0" borderId="1" xfId="0" applyFont="1" applyBorder="1" applyAlignment="1">
      <alignment vertical="top"/>
    </xf>
    <xf numFmtId="171" fontId="14" fillId="0" borderId="1" xfId="9" applyNumberFormat="1" applyFont="1" applyBorder="1" applyAlignment="1">
      <alignment vertical="top"/>
    </xf>
    <xf numFmtId="0" fontId="28" fillId="5" borderId="1" xfId="0" applyFont="1" applyFill="1" applyBorder="1" applyAlignment="1">
      <alignment horizontal="center" vertical="center" wrapText="1"/>
    </xf>
    <xf numFmtId="0" fontId="28" fillId="5" borderId="1" xfId="0" applyFont="1" applyFill="1" applyBorder="1" applyAlignment="1">
      <alignment horizontal="left" vertical="center" wrapText="1"/>
    </xf>
    <xf numFmtId="166" fontId="28" fillId="5" borderId="1" xfId="9" applyNumberFormat="1" applyFont="1" applyFill="1" applyBorder="1" applyAlignment="1">
      <alignment horizontal="right" vertical="center" wrapText="1"/>
    </xf>
    <xf numFmtId="166" fontId="28" fillId="5" borderId="1" xfId="9" applyNumberFormat="1" applyFont="1" applyFill="1" applyBorder="1" applyAlignment="1">
      <alignment vertical="center" wrapText="1"/>
    </xf>
    <xf numFmtId="0" fontId="28" fillId="5" borderId="1" xfId="0" applyFont="1" applyFill="1" applyBorder="1" applyAlignment="1">
      <alignment horizontal="center" wrapText="1"/>
    </xf>
    <xf numFmtId="166" fontId="28" fillId="5" borderId="1" xfId="9" applyNumberFormat="1" applyFont="1" applyFill="1" applyBorder="1" applyAlignment="1">
      <alignment horizontal="right" wrapText="1"/>
    </xf>
    <xf numFmtId="166" fontId="28" fillId="5" borderId="1" xfId="9" applyNumberFormat="1" applyFont="1" applyFill="1" applyBorder="1" applyAlignment="1">
      <alignment wrapText="1"/>
    </xf>
    <xf numFmtId="0" fontId="28" fillId="5" borderId="6" xfId="0" applyFont="1" applyFill="1" applyBorder="1" applyAlignment="1">
      <alignment horizontal="left" vertical="center" wrapText="1"/>
    </xf>
    <xf numFmtId="166" fontId="28" fillId="5" borderId="6" xfId="9" applyNumberFormat="1" applyFont="1" applyFill="1" applyBorder="1" applyAlignment="1">
      <alignment horizontal="right" wrapText="1"/>
    </xf>
    <xf numFmtId="0" fontId="28" fillId="5" borderId="4" xfId="0" applyFont="1" applyFill="1" applyBorder="1" applyAlignment="1">
      <alignment horizontal="left" vertical="center" wrapText="1"/>
    </xf>
    <xf numFmtId="0" fontId="22" fillId="0" borderId="2" xfId="0" applyFont="1" applyBorder="1" applyAlignment="1">
      <alignment vertical="center" wrapText="1"/>
    </xf>
    <xf numFmtId="0" fontId="22" fillId="0" borderId="2" xfId="0" applyFont="1" applyBorder="1" applyAlignment="1">
      <alignment horizontal="center" vertical="center"/>
    </xf>
    <xf numFmtId="0" fontId="5" fillId="0" borderId="1" xfId="0" applyFont="1" applyBorder="1" applyAlignment="1">
      <alignment horizontal="center" vertical="center" wrapText="1"/>
    </xf>
    <xf numFmtId="0" fontId="36" fillId="0" borderId="1" xfId="0" applyFont="1" applyBorder="1" applyAlignment="1">
      <alignment horizontal="center"/>
    </xf>
    <xf numFmtId="0" fontId="25" fillId="0" borderId="1" xfId="0" applyFont="1" applyBorder="1" applyAlignment="1">
      <alignment horizontal="center" vertical="center" wrapText="1"/>
    </xf>
    <xf numFmtId="0" fontId="5" fillId="0" borderId="0" xfId="0" applyFont="1"/>
    <xf numFmtId="0" fontId="29" fillId="0" borderId="0" xfId="0" applyFont="1" applyAlignment="1">
      <alignment horizontal="center"/>
    </xf>
    <xf numFmtId="0" fontId="29" fillId="0" borderId="1" xfId="0" applyFont="1" applyBorder="1" applyAlignment="1">
      <alignment horizontal="center"/>
    </xf>
    <xf numFmtId="0" fontId="22" fillId="0" borderId="0" xfId="0" applyFont="1" applyAlignment="1">
      <alignment horizontal="center"/>
    </xf>
    <xf numFmtId="0" fontId="5" fillId="0" borderId="0" xfId="0" applyFont="1" applyAlignment="1">
      <alignment horizontal="center"/>
    </xf>
    <xf numFmtId="0" fontId="9" fillId="0" borderId="0" xfId="0" applyFont="1"/>
    <xf numFmtId="0" fontId="5" fillId="0" borderId="0" xfId="0" applyFont="1" applyAlignment="1">
      <alignment horizontal="left"/>
    </xf>
    <xf numFmtId="0" fontId="9" fillId="0" borderId="1" xfId="0" applyFont="1" applyBorder="1" applyAlignment="1">
      <alignment horizontal="left" vertical="center" wrapText="1"/>
    </xf>
    <xf numFmtId="0" fontId="39" fillId="0" borderId="0" xfId="0" applyFont="1"/>
    <xf numFmtId="0" fontId="40" fillId="0" borderId="0" xfId="0" applyFont="1"/>
    <xf numFmtId="0" fontId="41" fillId="0" borderId="0" xfId="0" applyFont="1"/>
    <xf numFmtId="0" fontId="21" fillId="0" borderId="1" xfId="0" applyFont="1" applyBorder="1" applyAlignment="1">
      <alignment wrapText="1"/>
    </xf>
    <xf numFmtId="0" fontId="39" fillId="0" borderId="1" xfId="0" applyFont="1" applyBorder="1" applyAlignment="1">
      <alignment horizontal="center" vertical="center"/>
    </xf>
    <xf numFmtId="0" fontId="42" fillId="0" borderId="1" xfId="0" applyFont="1" applyBorder="1" applyAlignment="1">
      <alignment horizontal="center" vertical="center" wrapText="1"/>
    </xf>
    <xf numFmtId="0" fontId="39" fillId="0" borderId="1" xfId="0" applyFont="1" applyBorder="1" applyAlignment="1"/>
    <xf numFmtId="0" fontId="41" fillId="3" borderId="0" xfId="0" applyFont="1" applyFill="1" applyAlignment="1">
      <alignment vertical="center" wrapText="1"/>
    </xf>
    <xf numFmtId="167" fontId="42" fillId="0" borderId="1" xfId="9" applyNumberFormat="1" applyFont="1" applyBorder="1" applyAlignment="1"/>
    <xf numFmtId="0" fontId="43" fillId="0" borderId="0" xfId="0" applyFont="1" applyBorder="1"/>
    <xf numFmtId="0" fontId="41" fillId="0" borderId="0" xfId="0" applyFont="1" applyAlignment="1">
      <alignment wrapText="1"/>
    </xf>
    <xf numFmtId="0" fontId="39" fillId="0" borderId="1" xfId="0" applyFont="1" applyBorder="1" applyAlignment="1">
      <alignment horizontal="center" vertical="center" wrapText="1"/>
    </xf>
    <xf numFmtId="3" fontId="39" fillId="0" borderId="1" xfId="0" applyNumberFormat="1" applyFont="1" applyBorder="1" applyAlignment="1">
      <alignment horizontal="center" vertical="center" wrapText="1"/>
    </xf>
    <xf numFmtId="0" fontId="41" fillId="0" borderId="1" xfId="0" applyFont="1" applyBorder="1"/>
    <xf numFmtId="167" fontId="43" fillId="0" borderId="1" xfId="9" applyNumberFormat="1" applyFont="1" applyBorder="1"/>
    <xf numFmtId="167" fontId="41" fillId="0" borderId="0" xfId="0" applyNumberFormat="1" applyFont="1"/>
    <xf numFmtId="0" fontId="30" fillId="8" borderId="1" xfId="0" applyFont="1" applyFill="1" applyBorder="1" applyAlignment="1">
      <alignment horizontal="center" vertical="top" wrapText="1"/>
    </xf>
    <xf numFmtId="0" fontId="25" fillId="0" borderId="0" xfId="0" applyFont="1" applyAlignment="1">
      <alignment vertical="center"/>
    </xf>
    <xf numFmtId="166" fontId="25" fillId="0" borderId="0" xfId="9" applyNumberFormat="1" applyFont="1"/>
    <xf numFmtId="0" fontId="25" fillId="0" borderId="0" xfId="0" applyFont="1" applyAlignment="1">
      <alignment horizontal="left" vertical="center" indent="2"/>
    </xf>
    <xf numFmtId="0" fontId="39" fillId="2" borderId="1" xfId="0" applyFont="1" applyFill="1" applyBorder="1" applyAlignment="1">
      <alignment horizontal="center" vertical="top" wrapText="1"/>
    </xf>
    <xf numFmtId="0" fontId="39" fillId="2" borderId="1" xfId="0" applyFont="1" applyFill="1" applyBorder="1" applyAlignment="1">
      <alignment vertical="top" wrapText="1"/>
    </xf>
    <xf numFmtId="166" fontId="39" fillId="2" borderId="1" xfId="9" applyNumberFormat="1" applyFont="1" applyFill="1" applyBorder="1" applyAlignment="1">
      <alignment horizontal="center" vertical="top" wrapText="1"/>
    </xf>
    <xf numFmtId="0" fontId="39" fillId="2" borderId="1" xfId="0" applyFont="1" applyFill="1" applyBorder="1" applyAlignment="1">
      <alignment horizontal="left" vertical="top" wrapText="1"/>
    </xf>
    <xf numFmtId="0" fontId="39" fillId="0" borderId="1" xfId="0" applyFont="1" applyBorder="1" applyAlignment="1">
      <alignment horizontal="left" vertical="center" wrapText="1"/>
    </xf>
    <xf numFmtId="0" fontId="39" fillId="2" borderId="1" xfId="0" applyFont="1" applyFill="1" applyBorder="1" applyAlignment="1">
      <alignment horizontal="center" vertical="center"/>
    </xf>
    <xf numFmtId="0" fontId="39" fillId="2" borderId="1" xfId="0" applyFont="1" applyFill="1" applyBorder="1" applyAlignment="1">
      <alignment vertical="center"/>
    </xf>
    <xf numFmtId="166" fontId="39" fillId="0" borderId="1" xfId="9" applyNumberFormat="1" applyFont="1" applyBorder="1" applyAlignment="1">
      <alignment horizontal="center" vertical="center"/>
    </xf>
    <xf numFmtId="0" fontId="39" fillId="0" borderId="1" xfId="0" applyFont="1" applyBorder="1" applyAlignment="1">
      <alignment horizontal="left"/>
    </xf>
    <xf numFmtId="0" fontId="41" fillId="0" borderId="1" xfId="0" applyFont="1" applyBorder="1" applyAlignment="1">
      <alignment wrapText="1"/>
    </xf>
    <xf numFmtId="0" fontId="41" fillId="0" borderId="1" xfId="0" applyFont="1" applyBorder="1" applyAlignment="1">
      <alignment horizontal="right" vertical="top"/>
    </xf>
    <xf numFmtId="3" fontId="21" fillId="0" borderId="1" xfId="0" applyNumberFormat="1" applyFont="1" applyBorder="1" applyAlignment="1">
      <alignment horizontal="right" vertical="top"/>
    </xf>
    <xf numFmtId="0" fontId="41" fillId="0" borderId="1" xfId="0" applyFont="1" applyBorder="1" applyAlignment="1">
      <alignment horizontal="justify" vertical="top" wrapText="1"/>
    </xf>
    <xf numFmtId="0" fontId="21" fillId="0" borderId="1" xfId="0" applyFont="1" applyBorder="1" applyAlignment="1">
      <alignment horizontal="left" vertical="top" wrapText="1"/>
    </xf>
    <xf numFmtId="0" fontId="41" fillId="0" borderId="1" xfId="0" applyFont="1" applyBorder="1" applyAlignment="1">
      <alignment vertical="top"/>
    </xf>
    <xf numFmtId="0" fontId="21" fillId="0" borderId="1" xfId="0" applyFont="1" applyBorder="1"/>
    <xf numFmtId="0" fontId="40" fillId="0" borderId="1" xfId="0" applyFont="1" applyBorder="1"/>
    <xf numFmtId="167" fontId="21" fillId="0" borderId="1" xfId="9" applyNumberFormat="1" applyFont="1" applyBorder="1"/>
    <xf numFmtId="166" fontId="43" fillId="10" borderId="1" xfId="0" applyNumberFormat="1" applyFont="1" applyFill="1" applyBorder="1" applyAlignment="1">
      <alignment vertical="top"/>
    </xf>
    <xf numFmtId="0" fontId="43" fillId="10" borderId="1" xfId="0" applyFont="1" applyFill="1" applyBorder="1" applyAlignment="1">
      <alignment vertical="top"/>
    </xf>
    <xf numFmtId="0" fontId="42" fillId="0" borderId="1" xfId="0" applyFont="1" applyBorder="1" applyAlignment="1">
      <alignment horizontal="center"/>
    </xf>
    <xf numFmtId="0" fontId="10" fillId="0" borderId="0" xfId="0" applyFont="1" applyAlignment="1">
      <alignment vertical="center"/>
    </xf>
    <xf numFmtId="0" fontId="5" fillId="0" borderId="1" xfId="0" applyFont="1" applyBorder="1" applyAlignment="1">
      <alignment horizontal="center" vertical="top"/>
    </xf>
    <xf numFmtId="0" fontId="5" fillId="0" borderId="1" xfId="0" applyFont="1" applyBorder="1" applyAlignment="1">
      <alignment horizontal="left" vertical="top"/>
    </xf>
    <xf numFmtId="167" fontId="5" fillId="0" borderId="1" xfId="9" applyNumberFormat="1" applyFont="1" applyBorder="1" applyAlignment="1">
      <alignment horizontal="center" vertical="top" wrapText="1"/>
    </xf>
    <xf numFmtId="167" fontId="5" fillId="0" borderId="1" xfId="9" applyNumberFormat="1" applyFont="1" applyBorder="1" applyAlignment="1">
      <alignment horizontal="right" vertical="top" wrapText="1"/>
    </xf>
    <xf numFmtId="0" fontId="5" fillId="0" borderId="1" xfId="0" applyFont="1" applyBorder="1" applyAlignment="1">
      <alignment horizontal="left" vertical="top" wrapText="1"/>
    </xf>
    <xf numFmtId="0" fontId="9" fillId="0" borderId="7" xfId="0" applyFont="1" applyBorder="1" applyAlignment="1">
      <alignment horizontal="center" vertical="top"/>
    </xf>
    <xf numFmtId="167" fontId="5" fillId="0" borderId="7" xfId="9" applyNumberFormat="1" applyFont="1" applyBorder="1" applyAlignment="1">
      <alignment horizontal="center" vertical="top" wrapText="1"/>
    </xf>
    <xf numFmtId="167" fontId="9" fillId="0" borderId="7" xfId="9" applyNumberFormat="1" applyFont="1" applyBorder="1" applyAlignment="1">
      <alignment horizontal="right" vertical="top" wrapText="1"/>
    </xf>
    <xf numFmtId="0" fontId="5" fillId="0" borderId="7" xfId="0" applyFont="1" applyBorder="1" applyAlignment="1">
      <alignment horizontal="left" vertical="top" wrapText="1"/>
    </xf>
    <xf numFmtId="0" fontId="5" fillId="0" borderId="0" xfId="0" applyFont="1" applyAlignment="1">
      <alignment vertical="top"/>
    </xf>
    <xf numFmtId="0" fontId="15" fillId="0" borderId="1" xfId="0" applyFont="1" applyBorder="1" applyAlignment="1">
      <alignment horizontal="center" vertical="top" wrapText="1"/>
    </xf>
    <xf numFmtId="0" fontId="15" fillId="0" borderId="1" xfId="0" applyFont="1" applyBorder="1" applyAlignment="1">
      <alignment horizontal="justify" vertical="top" wrapText="1"/>
    </xf>
    <xf numFmtId="167" fontId="15" fillId="0" borderId="1" xfId="9" applyNumberFormat="1" applyFont="1" applyBorder="1" applyAlignment="1">
      <alignment horizontal="left" vertical="top" wrapText="1"/>
    </xf>
    <xf numFmtId="167" fontId="15" fillId="0" borderId="1" xfId="9" applyNumberFormat="1" applyFont="1" applyBorder="1" applyAlignment="1">
      <alignment horizontal="right" vertical="top" wrapText="1"/>
    </xf>
    <xf numFmtId="167" fontId="15" fillId="0" borderId="1" xfId="9" applyNumberFormat="1" applyFont="1" applyBorder="1" applyAlignment="1">
      <alignment horizontal="right" vertical="top"/>
    </xf>
    <xf numFmtId="167" fontId="44" fillId="0" borderId="1" xfId="9" applyNumberFormat="1" applyFont="1" applyBorder="1" applyAlignment="1">
      <alignment horizontal="center" vertical="top"/>
    </xf>
    <xf numFmtId="167" fontId="44" fillId="0" borderId="1" xfId="9" applyNumberFormat="1" applyFont="1" applyBorder="1" applyAlignment="1">
      <alignment horizontal="right" vertical="top" wrapText="1"/>
    </xf>
    <xf numFmtId="0" fontId="17" fillId="0" borderId="1" xfId="0" applyFont="1" applyBorder="1" applyAlignment="1">
      <alignment horizontal="center" vertical="top" wrapText="1"/>
    </xf>
    <xf numFmtId="0" fontId="17" fillId="0" borderId="1" xfId="0" applyFont="1" applyBorder="1" applyAlignment="1">
      <alignment horizontal="left" vertical="top" wrapText="1"/>
    </xf>
    <xf numFmtId="0" fontId="5" fillId="0" borderId="1" xfId="0" applyFont="1" applyBorder="1" applyAlignment="1">
      <alignment vertical="top"/>
    </xf>
    <xf numFmtId="166" fontId="5" fillId="0" borderId="1" xfId="9" applyNumberFormat="1" applyFont="1" applyBorder="1" applyAlignment="1">
      <alignment horizontal="center" vertical="top"/>
    </xf>
    <xf numFmtId="166" fontId="5" fillId="0" borderId="1" xfId="9" applyNumberFormat="1" applyFont="1" applyBorder="1" applyAlignment="1">
      <alignment vertical="top"/>
    </xf>
    <xf numFmtId="0" fontId="5" fillId="0" borderId="1" xfId="0" applyFont="1" applyBorder="1" applyAlignment="1">
      <alignment vertical="top" wrapText="1"/>
    </xf>
    <xf numFmtId="0" fontId="17" fillId="0" borderId="1" xfId="0" applyFont="1" applyFill="1" applyBorder="1" applyAlignment="1">
      <alignment horizontal="center" vertical="top"/>
    </xf>
    <xf numFmtId="166" fontId="17" fillId="0" borderId="1" xfId="9" applyNumberFormat="1" applyFont="1" applyBorder="1" applyAlignment="1">
      <alignment vertical="top"/>
    </xf>
    <xf numFmtId="43" fontId="5" fillId="0" borderId="0" xfId="0" applyNumberFormat="1" applyFont="1" applyAlignment="1">
      <alignment vertical="top"/>
    </xf>
    <xf numFmtId="0" fontId="5" fillId="0" borderId="7" xfId="0" applyFont="1" applyBorder="1" applyAlignment="1">
      <alignment vertical="top"/>
    </xf>
    <xf numFmtId="0" fontId="5" fillId="0" borderId="0" xfId="0" applyFont="1" applyBorder="1" applyAlignment="1">
      <alignment horizontal="center" vertical="top"/>
    </xf>
    <xf numFmtId="0" fontId="16" fillId="0" borderId="0" xfId="0" applyFont="1" applyAlignment="1">
      <alignment vertical="center"/>
    </xf>
    <xf numFmtId="0" fontId="16" fillId="0" borderId="0" xfId="0" applyFont="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66" fontId="5" fillId="0" borderId="1" xfId="9" applyNumberFormat="1" applyFont="1" applyFill="1" applyBorder="1" applyAlignment="1">
      <alignment horizontal="right" vertical="center" wrapText="1"/>
    </xf>
    <xf numFmtId="3" fontId="5" fillId="2" borderId="1" xfId="5" applyNumberFormat="1" applyFont="1" applyFill="1" applyBorder="1" applyAlignment="1">
      <alignment horizontal="center" vertical="center" wrapText="1"/>
    </xf>
    <xf numFmtId="167" fontId="27" fillId="0" borderId="1" xfId="9" applyNumberFormat="1" applyFont="1" applyBorder="1" applyAlignment="1">
      <alignment horizontal="center" vertical="center"/>
    </xf>
    <xf numFmtId="3" fontId="5" fillId="2" borderId="1" xfId="5" applyNumberFormat="1" applyFont="1" applyFill="1" applyBorder="1" applyAlignment="1">
      <alignment horizontal="left" vertical="center" wrapText="1"/>
    </xf>
    <xf numFmtId="166" fontId="5" fillId="2" borderId="1" xfId="9" applyNumberFormat="1" applyFont="1" applyFill="1" applyBorder="1" applyAlignment="1">
      <alignment vertical="center" wrapText="1"/>
    </xf>
    <xf numFmtId="3" fontId="17" fillId="0" borderId="1" xfId="0" applyNumberFormat="1" applyFont="1" applyFill="1" applyBorder="1" applyAlignment="1">
      <alignment horizontal="right"/>
    </xf>
    <xf numFmtId="1" fontId="17" fillId="0" borderId="0" xfId="0" applyNumberFormat="1" applyFont="1" applyFill="1" applyAlignment="1">
      <alignment horizontal="right"/>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16" fillId="0" borderId="0" xfId="0" applyFont="1" applyAlignment="1">
      <alignment vertical="top" wrapText="1"/>
    </xf>
    <xf numFmtId="0" fontId="16" fillId="0" borderId="0" xfId="0" applyFont="1" applyAlignment="1">
      <alignment vertical="center" wrapText="1"/>
    </xf>
    <xf numFmtId="0" fontId="16" fillId="6" borderId="1" xfId="0" applyFont="1" applyFill="1" applyBorder="1" applyAlignment="1">
      <alignment horizontal="center" vertical="center" textRotation="90" wrapText="1"/>
    </xf>
    <xf numFmtId="0" fontId="16" fillId="6" borderId="1" xfId="0" applyFont="1" applyFill="1" applyBorder="1" applyAlignment="1">
      <alignment horizontal="center" vertical="center" wrapText="1"/>
    </xf>
    <xf numFmtId="0" fontId="16" fillId="0" borderId="0" xfId="0" applyNumberFormat="1" applyFont="1" applyAlignment="1">
      <alignment horizontal="center"/>
    </xf>
    <xf numFmtId="0" fontId="16" fillId="7" borderId="1" xfId="0" applyFont="1" applyFill="1" applyBorder="1" applyAlignment="1">
      <alignment horizontal="center" vertical="center"/>
    </xf>
    <xf numFmtId="0" fontId="46" fillId="7" borderId="1" xfId="0" applyFont="1" applyFill="1" applyBorder="1" applyAlignment="1">
      <alignment vertical="center" wrapText="1"/>
    </xf>
    <xf numFmtId="0" fontId="16" fillId="7" borderId="1" xfId="0" applyFont="1" applyFill="1" applyBorder="1" applyAlignment="1">
      <alignment vertical="center"/>
    </xf>
    <xf numFmtId="0" fontId="16" fillId="7" borderId="1" xfId="0" applyFont="1" applyFill="1" applyBorder="1" applyAlignment="1">
      <alignment vertical="center" wrapText="1"/>
    </xf>
    <xf numFmtId="0" fontId="45" fillId="0" borderId="1" xfId="0" applyFont="1" applyBorder="1" applyAlignment="1">
      <alignment vertical="center" wrapText="1"/>
    </xf>
    <xf numFmtId="167" fontId="16" fillId="0" borderId="1" xfId="9" applyNumberFormat="1" applyFont="1" applyBorder="1" applyAlignment="1">
      <alignment vertical="center"/>
    </xf>
    <xf numFmtId="0" fontId="16" fillId="0" borderId="1" xfId="0" applyFont="1" applyBorder="1" applyAlignment="1">
      <alignment vertical="center"/>
    </xf>
    <xf numFmtId="167" fontId="16" fillId="0" borderId="1" xfId="9" applyNumberFormat="1" applyFont="1" applyBorder="1" applyAlignment="1">
      <alignment vertical="center" wrapText="1"/>
    </xf>
    <xf numFmtId="43" fontId="16" fillId="0" borderId="0" xfId="0" applyNumberFormat="1" applyFont="1"/>
    <xf numFmtId="167" fontId="31" fillId="2" borderId="1" xfId="9" applyNumberFormat="1" applyFont="1" applyFill="1" applyBorder="1" applyAlignment="1"/>
    <xf numFmtId="167" fontId="16" fillId="7" borderId="1" xfId="9" applyNumberFormat="1" applyFont="1" applyFill="1" applyBorder="1" applyAlignment="1">
      <alignment vertical="center"/>
    </xf>
    <xf numFmtId="167" fontId="16" fillId="7" borderId="1" xfId="9" applyNumberFormat="1" applyFont="1" applyFill="1" applyBorder="1" applyAlignment="1">
      <alignment vertical="center" wrapText="1"/>
    </xf>
    <xf numFmtId="3" fontId="16" fillId="2" borderId="1" xfId="0" applyNumberFormat="1" applyFont="1" applyFill="1" applyBorder="1"/>
    <xf numFmtId="164" fontId="16" fillId="2" borderId="1" xfId="0" applyNumberFormat="1" applyFont="1" applyFill="1" applyBorder="1"/>
    <xf numFmtId="0" fontId="31" fillId="0" borderId="1" xfId="0" applyFont="1" applyBorder="1" applyAlignment="1">
      <alignment vertical="center" wrapText="1"/>
    </xf>
    <xf numFmtId="167" fontId="16" fillId="2" borderId="1" xfId="9" applyNumberFormat="1" applyFont="1" applyFill="1" applyBorder="1"/>
    <xf numFmtId="167" fontId="16" fillId="2" borderId="1" xfId="9" applyNumberFormat="1" applyFont="1" applyFill="1" applyBorder="1" applyAlignment="1">
      <alignment horizontal="center" vertical="center"/>
    </xf>
    <xf numFmtId="167" fontId="16" fillId="0" borderId="1" xfId="9" applyNumberFormat="1" applyFont="1" applyBorder="1" applyAlignment="1">
      <alignment horizontal="center" vertical="center"/>
    </xf>
    <xf numFmtId="167" fontId="16" fillId="0" borderId="1" xfId="9" applyNumberFormat="1" applyFont="1" applyBorder="1" applyAlignment="1">
      <alignment horizontal="center" vertical="center" wrapText="1"/>
    </xf>
    <xf numFmtId="167" fontId="31" fillId="2" borderId="1" xfId="9" applyNumberFormat="1" applyFont="1" applyFill="1" applyBorder="1" applyAlignment="1">
      <alignment vertical="center"/>
    </xf>
    <xf numFmtId="167" fontId="31" fillId="0" borderId="1" xfId="9" applyNumberFormat="1" applyFont="1" applyBorder="1" applyAlignment="1">
      <alignment vertical="center"/>
    </xf>
    <xf numFmtId="167" fontId="16" fillId="2" borderId="1" xfId="9" applyNumberFormat="1" applyFont="1" applyFill="1" applyBorder="1" applyAlignment="1">
      <alignment vertical="center"/>
    </xf>
    <xf numFmtId="0" fontId="16" fillId="0" borderId="1" xfId="0" applyFont="1" applyBorder="1"/>
    <xf numFmtId="167" fontId="16" fillId="2" borderId="4" xfId="9" applyNumberFormat="1" applyFont="1" applyFill="1" applyBorder="1"/>
    <xf numFmtId="2" fontId="16" fillId="0" borderId="1" xfId="0" applyNumberFormat="1" applyFont="1" applyBorder="1" applyAlignment="1">
      <alignment horizontal="center" vertical="center"/>
    </xf>
    <xf numFmtId="0" fontId="45" fillId="3" borderId="1" xfId="0" applyFont="1" applyFill="1" applyBorder="1" applyAlignment="1">
      <alignment horizontal="center" vertical="center"/>
    </xf>
    <xf numFmtId="0" fontId="45" fillId="3" borderId="1" xfId="0" applyFont="1" applyFill="1" applyBorder="1" applyAlignment="1">
      <alignment vertical="center" wrapText="1"/>
    </xf>
    <xf numFmtId="0" fontId="16" fillId="2" borderId="1" xfId="0" applyFont="1" applyFill="1" applyBorder="1"/>
    <xf numFmtId="167" fontId="16" fillId="3" borderId="1" xfId="9" applyNumberFormat="1" applyFont="1" applyFill="1" applyBorder="1" applyAlignment="1">
      <alignment vertical="center" wrapText="1"/>
    </xf>
    <xf numFmtId="0" fontId="16" fillId="2" borderId="0" xfId="0" applyFont="1" applyFill="1"/>
    <xf numFmtId="0" fontId="47" fillId="3" borderId="1" xfId="0" applyFont="1" applyFill="1" applyBorder="1" applyAlignment="1">
      <alignment vertical="center" wrapText="1"/>
    </xf>
    <xf numFmtId="167" fontId="31" fillId="2" borderId="4" xfId="9" applyNumberFormat="1" applyFont="1" applyFill="1" applyBorder="1" applyAlignment="1"/>
    <xf numFmtId="167" fontId="16" fillId="2" borderId="1" xfId="9" applyNumberFormat="1" applyFont="1" applyFill="1" applyBorder="1" applyAlignment="1">
      <alignment vertical="center" wrapText="1"/>
    </xf>
    <xf numFmtId="167" fontId="16" fillId="9" borderId="1" xfId="9" applyNumberFormat="1" applyFont="1" applyFill="1" applyBorder="1" applyAlignment="1">
      <alignment vertical="center" wrapText="1"/>
    </xf>
    <xf numFmtId="3" fontId="16" fillId="2" borderId="1" xfId="0" applyNumberFormat="1" applyFont="1" applyFill="1" applyBorder="1" applyAlignment="1"/>
    <xf numFmtId="167" fontId="16" fillId="2" borderId="1" xfId="9" applyNumberFormat="1" applyFont="1" applyFill="1" applyBorder="1" applyAlignment="1"/>
    <xf numFmtId="167" fontId="16" fillId="0" borderId="1" xfId="9" applyNumberFormat="1" applyFont="1" applyBorder="1" applyAlignment="1"/>
    <xf numFmtId="167" fontId="16" fillId="0" borderId="1" xfId="9" applyNumberFormat="1" applyFont="1" applyBorder="1" applyAlignment="1">
      <alignment wrapText="1"/>
    </xf>
    <xf numFmtId="0" fontId="31" fillId="3" borderId="1" xfId="0" applyFont="1" applyFill="1" applyBorder="1" applyAlignment="1">
      <alignment vertical="center" wrapText="1"/>
    </xf>
    <xf numFmtId="167" fontId="16" fillId="3" borderId="1" xfId="9" applyNumberFormat="1" applyFont="1" applyFill="1" applyBorder="1" applyAlignment="1">
      <alignment vertical="center"/>
    </xf>
    <xf numFmtId="0" fontId="16" fillId="3" borderId="1" xfId="0" applyFont="1" applyFill="1" applyBorder="1" applyAlignment="1">
      <alignment horizontal="center" vertical="center"/>
    </xf>
    <xf numFmtId="0" fontId="45" fillId="0" borderId="1" xfId="0" applyFont="1" applyBorder="1" applyAlignment="1">
      <alignment horizontal="left" vertical="center" wrapText="1" indent="2"/>
    </xf>
    <xf numFmtId="0" fontId="16" fillId="0" borderId="1" xfId="0" applyFont="1" applyBorder="1" applyAlignment="1">
      <alignment horizontal="left" vertical="center" wrapText="1" indent="2"/>
    </xf>
    <xf numFmtId="0" fontId="31" fillId="0" borderId="1" xfId="0" applyFont="1" applyBorder="1" applyAlignment="1">
      <alignment horizontal="left" vertical="center" wrapText="1" indent="2"/>
    </xf>
    <xf numFmtId="167" fontId="31" fillId="2" borderId="1" xfId="9" applyNumberFormat="1" applyFont="1" applyFill="1" applyBorder="1" applyAlignment="1">
      <alignment horizontal="right" vertical="center"/>
    </xf>
    <xf numFmtId="0" fontId="16" fillId="3" borderId="1" xfId="0" applyFont="1" applyFill="1" applyBorder="1" applyAlignment="1">
      <alignment vertical="center" wrapText="1"/>
    </xf>
    <xf numFmtId="0" fontId="48" fillId="7" borderId="1" xfId="0" applyFont="1" applyFill="1" applyBorder="1" applyAlignment="1">
      <alignment vertical="center" wrapText="1"/>
    </xf>
    <xf numFmtId="0" fontId="45" fillId="0" borderId="1" xfId="0" applyFont="1" applyBorder="1" applyAlignment="1">
      <alignment horizontal="left" vertical="center" wrapText="1" indent="1"/>
    </xf>
    <xf numFmtId="0" fontId="16" fillId="8" borderId="1" xfId="0" applyFont="1" applyFill="1" applyBorder="1" applyAlignment="1">
      <alignment horizontal="center" vertical="center"/>
    </xf>
    <xf numFmtId="167" fontId="31" fillId="8" borderId="1" xfId="9" applyNumberFormat="1" applyFont="1" applyFill="1" applyBorder="1" applyAlignment="1">
      <alignment vertical="center"/>
    </xf>
    <xf numFmtId="167" fontId="31" fillId="8" borderId="1" xfId="9" applyNumberFormat="1" applyFont="1" applyFill="1" applyBorder="1" applyAlignment="1">
      <alignment vertical="center" wrapText="1"/>
    </xf>
    <xf numFmtId="0" fontId="31" fillId="7" borderId="1" xfId="0" applyFont="1" applyFill="1" applyBorder="1" applyAlignment="1">
      <alignment vertical="center" wrapText="1"/>
    </xf>
    <xf numFmtId="0" fontId="46" fillId="0" borderId="1" xfId="0" applyFont="1" applyBorder="1" applyAlignment="1">
      <alignment vertical="center" wrapText="1"/>
    </xf>
    <xf numFmtId="0" fontId="46" fillId="3" borderId="1" xfId="0" applyFont="1" applyFill="1" applyBorder="1" applyAlignment="1">
      <alignment vertical="center" wrapText="1"/>
    </xf>
    <xf numFmtId="0" fontId="42" fillId="0" borderId="1" xfId="0" applyFont="1" applyBorder="1" applyAlignment="1">
      <alignment horizontal="center" vertical="center"/>
    </xf>
    <xf numFmtId="0" fontId="42" fillId="0" borderId="1" xfId="0" applyFont="1" applyFill="1" applyBorder="1" applyAlignment="1">
      <alignment horizontal="center" vertical="center"/>
    </xf>
    <xf numFmtId="0" fontId="39" fillId="0" borderId="1" xfId="0" applyFont="1" applyBorder="1"/>
    <xf numFmtId="166" fontId="39" fillId="5" borderId="1" xfId="9" applyNumberFormat="1" applyFont="1" applyFill="1" applyBorder="1" applyAlignment="1">
      <alignment horizontal="left" vertical="center"/>
    </xf>
    <xf numFmtId="166" fontId="39" fillId="0" borderId="1" xfId="9" applyNumberFormat="1" applyFont="1" applyBorder="1" applyAlignment="1">
      <alignment horizontal="left" vertical="center"/>
    </xf>
    <xf numFmtId="166" fontId="42" fillId="0" borderId="1" xfId="9" applyNumberFormat="1" applyFont="1" applyBorder="1" applyAlignment="1">
      <alignment horizontal="left" vertical="center"/>
    </xf>
    <xf numFmtId="0" fontId="39" fillId="0" borderId="1" xfId="0" applyFont="1" applyBorder="1" applyAlignment="1">
      <alignment wrapText="1"/>
    </xf>
    <xf numFmtId="0" fontId="42" fillId="0" borderId="1" xfId="0" applyFont="1" applyBorder="1" applyAlignment="1"/>
    <xf numFmtId="0" fontId="39" fillId="0" borderId="1" xfId="0" applyFont="1" applyFill="1" applyBorder="1"/>
    <xf numFmtId="166" fontId="5" fillId="0" borderId="0" xfId="0" applyNumberFormat="1" applyFont="1" applyAlignment="1">
      <alignment vertical="top"/>
    </xf>
    <xf numFmtId="0" fontId="5" fillId="0" borderId="0" xfId="0" applyFont="1" applyAlignment="1">
      <alignment horizontal="center" vertical="top"/>
    </xf>
    <xf numFmtId="166" fontId="27" fillId="0" borderId="1" xfId="9" applyNumberFormat="1" applyFont="1" applyBorder="1" applyAlignment="1">
      <alignment horizontal="center"/>
    </xf>
    <xf numFmtId="166" fontId="27" fillId="0" borderId="1" xfId="9" applyNumberFormat="1" applyFont="1" applyBorder="1"/>
    <xf numFmtId="166" fontId="27" fillId="0" borderId="1" xfId="0" applyNumberFormat="1" applyFont="1" applyBorder="1" applyAlignment="1">
      <alignment horizontal="center" vertical="center"/>
    </xf>
    <xf numFmtId="166" fontId="27" fillId="0" borderId="1" xfId="9" applyNumberFormat="1" applyFont="1" applyBorder="1" applyAlignment="1">
      <alignment vertical="center"/>
    </xf>
    <xf numFmtId="0" fontId="27" fillId="0" borderId="1" xfId="0" applyFont="1" applyBorder="1" applyAlignment="1">
      <alignment vertical="center"/>
    </xf>
    <xf numFmtId="166" fontId="27" fillId="0" borderId="1" xfId="9" applyNumberFormat="1" applyFont="1" applyBorder="1" applyAlignment="1">
      <alignment horizontal="left" vertical="center"/>
    </xf>
    <xf numFmtId="0" fontId="27" fillId="0" borderId="1" xfId="0" applyFont="1" applyBorder="1" applyAlignment="1">
      <alignment horizontal="left" wrapText="1"/>
    </xf>
    <xf numFmtId="0" fontId="27" fillId="11" borderId="1" xfId="0" applyFont="1" applyFill="1" applyBorder="1" applyAlignment="1">
      <alignment horizontal="center"/>
    </xf>
    <xf numFmtId="166" fontId="27" fillId="11" borderId="1" xfId="9" applyNumberFormat="1" applyFont="1" applyFill="1" applyBorder="1" applyAlignment="1">
      <alignment horizontal="center"/>
    </xf>
    <xf numFmtId="0" fontId="27" fillId="0" borderId="1" xfId="0" applyFont="1" applyBorder="1" applyAlignment="1">
      <alignment horizontal="center"/>
    </xf>
    <xf numFmtId="0" fontId="15" fillId="0" borderId="1" xfId="8637" applyFont="1" applyBorder="1" applyAlignment="1">
      <alignment horizontal="justify" vertical="top" wrapText="1"/>
    </xf>
    <xf numFmtId="167" fontId="15" fillId="0" borderId="1" xfId="8638" applyNumberFormat="1" applyFont="1" applyBorder="1" applyAlignment="1">
      <alignment horizontal="right" vertical="top" wrapText="1"/>
    </xf>
    <xf numFmtId="167" fontId="15" fillId="0" borderId="1" xfId="8638" applyNumberFormat="1" applyFont="1" applyBorder="1" applyAlignment="1">
      <alignment horizontal="right" vertical="top"/>
    </xf>
    <xf numFmtId="167" fontId="25" fillId="0" borderId="1" xfId="8637" applyNumberFormat="1" applyFont="1" applyBorder="1" applyAlignment="1">
      <alignment wrapText="1"/>
    </xf>
    <xf numFmtId="167" fontId="25" fillId="0" borderId="1" xfId="8637" applyNumberFormat="1" applyFont="1" applyBorder="1" applyAlignment="1">
      <alignment vertical="center" wrapText="1"/>
    </xf>
    <xf numFmtId="0" fontId="15" fillId="0" borderId="1" xfId="8637" applyFont="1" applyFill="1" applyBorder="1" applyAlignment="1">
      <alignment horizontal="justify" vertical="top" wrapText="1"/>
    </xf>
    <xf numFmtId="0" fontId="25" fillId="0" borderId="1" xfId="8637" applyFont="1" applyBorder="1"/>
    <xf numFmtId="0" fontId="15" fillId="0" borderId="1" xfId="8637" applyFont="1" applyBorder="1" applyAlignment="1">
      <alignment horizontal="center" vertical="top" wrapText="1"/>
    </xf>
    <xf numFmtId="167" fontId="25" fillId="0" borderId="1" xfId="8637" applyNumberFormat="1" applyFont="1" applyBorder="1"/>
    <xf numFmtId="3" fontId="5" fillId="0" borderId="1" xfId="0" applyNumberFormat="1" applyFont="1" applyFill="1" applyBorder="1" applyAlignment="1">
      <alignment horizontal="right" vertical="center" wrapText="1"/>
    </xf>
    <xf numFmtId="3" fontId="9" fillId="0" borderId="1" xfId="0" applyNumberFormat="1"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right" vertical="center" wrapText="1"/>
    </xf>
    <xf numFmtId="0" fontId="27" fillId="0" borderId="0" xfId="0" applyFont="1" applyFill="1" applyAlignment="1">
      <alignment horizontal="left"/>
    </xf>
    <xf numFmtId="0" fontId="27" fillId="0" borderId="1" xfId="0" applyFont="1" applyFill="1" applyBorder="1" applyAlignment="1"/>
    <xf numFmtId="0" fontId="5" fillId="0" borderId="1" xfId="0" applyFont="1" applyFill="1" applyBorder="1" applyAlignment="1">
      <alignment horizontal="center"/>
    </xf>
    <xf numFmtId="0" fontId="5" fillId="0" borderId="1" xfId="0" applyFont="1" applyFill="1" applyBorder="1" applyAlignment="1">
      <alignment horizontal="left" vertical="center"/>
    </xf>
    <xf numFmtId="3" fontId="5" fillId="0" borderId="1" xfId="0" applyNumberFormat="1" applyFont="1" applyFill="1" applyBorder="1" applyAlignment="1">
      <alignment horizontal="right" vertical="center"/>
    </xf>
    <xf numFmtId="0" fontId="27" fillId="0" borderId="1" xfId="0" applyFont="1" applyFill="1" applyBorder="1" applyAlignment="1">
      <alignment horizontal="left"/>
    </xf>
    <xf numFmtId="0" fontId="5" fillId="0" borderId="1" xfId="0" applyFont="1" applyFill="1" applyBorder="1" applyAlignment="1">
      <alignment horizontal="left"/>
    </xf>
    <xf numFmtId="3" fontId="9" fillId="0" borderId="1" xfId="0" applyNumberFormat="1" applyFont="1" applyFill="1" applyBorder="1" applyAlignment="1">
      <alignment horizontal="right" vertical="center"/>
    </xf>
    <xf numFmtId="0" fontId="17"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0" xfId="0" applyFont="1" applyFill="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left" vertical="center" wrapText="1"/>
    </xf>
    <xf numFmtId="1" fontId="17" fillId="0" borderId="1" xfId="0" applyNumberFormat="1"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1" xfId="0" applyFont="1" applyFill="1" applyBorder="1" applyAlignment="1">
      <alignment horizontal="left" vertical="center"/>
    </xf>
    <xf numFmtId="0" fontId="27" fillId="0" borderId="1" xfId="0" applyFont="1" applyFill="1" applyBorder="1" applyAlignment="1">
      <alignment vertical="center"/>
    </xf>
    <xf numFmtId="0" fontId="17" fillId="0" borderId="1" xfId="0" applyFont="1" applyFill="1" applyBorder="1" applyAlignment="1">
      <alignment vertical="center"/>
    </xf>
    <xf numFmtId="3" fontId="27" fillId="0" borderId="1" xfId="0" applyNumberFormat="1" applyFont="1" applyFill="1" applyBorder="1" applyAlignment="1">
      <alignment horizontal="right"/>
    </xf>
    <xf numFmtId="0" fontId="27" fillId="0" borderId="1" xfId="0" applyFont="1" applyFill="1" applyBorder="1" applyAlignment="1">
      <alignment horizontal="center"/>
    </xf>
    <xf numFmtId="0" fontId="17" fillId="0" borderId="1" xfId="0" applyFont="1" applyFill="1" applyBorder="1" applyAlignment="1"/>
    <xf numFmtId="0" fontId="50" fillId="0" borderId="1" xfId="0" applyFont="1" applyFill="1" applyBorder="1" applyAlignment="1">
      <alignment horizontal="left"/>
    </xf>
    <xf numFmtId="0" fontId="27" fillId="0" borderId="0" xfId="0" applyFont="1" applyFill="1" applyAlignment="1">
      <alignment horizontal="center"/>
    </xf>
    <xf numFmtId="0" fontId="17" fillId="0" borderId="0" xfId="0" applyFont="1" applyFill="1" applyAlignment="1">
      <alignment horizontal="left"/>
    </xf>
    <xf numFmtId="0" fontId="27" fillId="0" borderId="0" xfId="0" applyFont="1" applyFill="1" applyAlignment="1"/>
    <xf numFmtId="1" fontId="27" fillId="0" borderId="0" xfId="0" applyNumberFormat="1" applyFont="1" applyFill="1" applyAlignment="1">
      <alignment horizontal="right"/>
    </xf>
    <xf numFmtId="0" fontId="9" fillId="0" borderId="4" xfId="0" applyFont="1" applyFill="1" applyBorder="1" applyAlignment="1">
      <alignment horizontal="center"/>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7" fillId="0" borderId="0" xfId="0" applyFont="1" applyFill="1" applyAlignment="1">
      <alignment horizontal="center"/>
    </xf>
    <xf numFmtId="0" fontId="9" fillId="0" borderId="3" xfId="0" applyFont="1" applyFill="1" applyBorder="1" applyAlignment="1">
      <alignment vertical="center" wrapText="1"/>
    </xf>
    <xf numFmtId="0" fontId="9" fillId="0" borderId="6" xfId="0" applyFont="1" applyFill="1" applyBorder="1" applyAlignment="1">
      <alignment vertical="center" wrapText="1"/>
    </xf>
    <xf numFmtId="0" fontId="9" fillId="0" borderId="4" xfId="0" applyFont="1" applyFill="1" applyBorder="1" applyAlignment="1">
      <alignment vertical="center" wrapText="1"/>
    </xf>
    <xf numFmtId="166" fontId="9" fillId="0" borderId="6" xfId="9" applyNumberFormat="1" applyFont="1" applyFill="1" applyBorder="1" applyAlignment="1">
      <alignment vertical="center" wrapText="1"/>
    </xf>
    <xf numFmtId="166" fontId="5" fillId="0" borderId="1" xfId="9" applyNumberFormat="1" applyFont="1" applyFill="1" applyBorder="1" applyAlignment="1">
      <alignment horizontal="left" vertical="center" wrapText="1"/>
    </xf>
    <xf numFmtId="166" fontId="9" fillId="0" borderId="1" xfId="9" applyNumberFormat="1" applyFont="1" applyFill="1" applyBorder="1" applyAlignment="1">
      <alignment horizontal="left" vertical="center" wrapText="1"/>
    </xf>
    <xf numFmtId="166" fontId="27" fillId="0" borderId="1" xfId="9" applyNumberFormat="1" applyFont="1" applyFill="1" applyBorder="1" applyAlignment="1"/>
    <xf numFmtId="166" fontId="9" fillId="0" borderId="4" xfId="9" applyNumberFormat="1" applyFont="1" applyFill="1" applyBorder="1" applyAlignment="1">
      <alignment horizontal="center" vertical="center" wrapText="1"/>
    </xf>
    <xf numFmtId="166" fontId="5" fillId="0" borderId="1" xfId="9" applyNumberFormat="1" applyFont="1" applyFill="1" applyBorder="1" applyAlignment="1">
      <alignment horizontal="left" vertical="center"/>
    </xf>
    <xf numFmtId="166" fontId="27" fillId="0" borderId="1" xfId="9" applyNumberFormat="1" applyFont="1" applyFill="1" applyBorder="1" applyAlignment="1">
      <alignment horizontal="left"/>
    </xf>
    <xf numFmtId="166" fontId="5" fillId="0" borderId="1" xfId="9" applyNumberFormat="1" applyFont="1" applyFill="1" applyBorder="1" applyAlignment="1">
      <alignment horizontal="left"/>
    </xf>
    <xf numFmtId="166" fontId="9" fillId="0" borderId="4" xfId="9" applyNumberFormat="1" applyFont="1" applyFill="1" applyBorder="1" applyAlignment="1">
      <alignment horizontal="center"/>
    </xf>
    <xf numFmtId="166" fontId="27" fillId="0" borderId="0" xfId="9" applyNumberFormat="1" applyFont="1" applyFill="1" applyBorder="1" applyAlignment="1">
      <alignment horizontal="left" vertical="center" wrapText="1"/>
    </xf>
    <xf numFmtId="166" fontId="17" fillId="0" borderId="1" xfId="9" applyNumberFormat="1" applyFont="1" applyFill="1" applyBorder="1" applyAlignment="1">
      <alignment horizontal="center"/>
    </xf>
    <xf numFmtId="166" fontId="27" fillId="0" borderId="0" xfId="9" applyNumberFormat="1" applyFont="1" applyFill="1" applyAlignment="1">
      <alignment horizontal="left"/>
    </xf>
    <xf numFmtId="166" fontId="0" fillId="0" borderId="0" xfId="9" applyNumberFormat="1" applyFont="1"/>
    <xf numFmtId="0" fontId="17" fillId="0" borderId="3" xfId="0" applyFont="1" applyFill="1" applyBorder="1" applyAlignment="1"/>
    <xf numFmtId="0" fontId="9" fillId="11" borderId="1" xfId="0" applyFont="1" applyFill="1" applyBorder="1" applyAlignment="1">
      <alignment horizontal="center"/>
    </xf>
    <xf numFmtId="0" fontId="9" fillId="11" borderId="1" xfId="0" applyFont="1" applyFill="1" applyBorder="1" applyAlignment="1">
      <alignment vertical="center" wrapText="1"/>
    </xf>
    <xf numFmtId="43" fontId="9" fillId="11" borderId="1" xfId="9" applyFont="1" applyFill="1" applyBorder="1" applyAlignment="1">
      <alignment vertical="center" wrapText="1"/>
    </xf>
    <xf numFmtId="0" fontId="9" fillId="11" borderId="1" xfId="0" applyFont="1" applyFill="1" applyBorder="1" applyAlignment="1">
      <alignment horizontal="left" vertical="center" wrapText="1"/>
    </xf>
    <xf numFmtId="3" fontId="9" fillId="11" borderId="1" xfId="0" applyNumberFormat="1" applyFont="1" applyFill="1" applyBorder="1" applyAlignment="1">
      <alignment horizontal="right" vertical="center" wrapText="1"/>
    </xf>
    <xf numFmtId="0" fontId="17" fillId="11" borderId="6" xfId="0" applyFont="1" applyFill="1" applyBorder="1" applyAlignment="1"/>
    <xf numFmtId="0" fontId="17" fillId="11" borderId="1" xfId="0" applyFont="1" applyFill="1" applyBorder="1" applyAlignment="1"/>
    <xf numFmtId="0" fontId="9" fillId="11" borderId="3" xfId="0" applyFont="1" applyFill="1" applyBorder="1" applyAlignment="1">
      <alignment vertical="center" wrapText="1"/>
    </xf>
    <xf numFmtId="0" fontId="9" fillId="11" borderId="6" xfId="0" applyFont="1"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166" fontId="0" fillId="0" borderId="1" xfId="9" applyNumberFormat="1" applyFont="1" applyBorder="1" applyAlignment="1">
      <alignment horizontal="center" vertical="center"/>
    </xf>
    <xf numFmtId="166" fontId="9" fillId="11" borderId="1" xfId="0" applyNumberFormat="1" applyFont="1" applyFill="1" applyBorder="1" applyAlignment="1">
      <alignment vertical="center" wrapText="1"/>
    </xf>
    <xf numFmtId="0" fontId="9" fillId="11" borderId="1" xfId="0" applyFont="1" applyFill="1" applyBorder="1" applyAlignment="1">
      <alignment horizontal="center" vertical="center" wrapText="1"/>
    </xf>
    <xf numFmtId="0" fontId="17" fillId="11" borderId="1" xfId="0" applyFont="1" applyFill="1" applyBorder="1" applyAlignment="1">
      <alignment horizontal="center"/>
    </xf>
    <xf numFmtId="0" fontId="27" fillId="0" borderId="0" xfId="0" applyFont="1" applyFill="1" applyBorder="1" applyAlignment="1">
      <alignment horizontal="center" vertical="center" wrapText="1"/>
    </xf>
    <xf numFmtId="0" fontId="51" fillId="11" borderId="1" xfId="0" applyFont="1" applyFill="1" applyBorder="1" applyAlignment="1">
      <alignment horizontal="center"/>
    </xf>
    <xf numFmtId="166" fontId="17" fillId="11" borderId="1" xfId="9" applyNumberFormat="1" applyFont="1" applyFill="1" applyBorder="1" applyAlignment="1"/>
    <xf numFmtId="0" fontId="9" fillId="11" borderId="1" xfId="0" applyFont="1" applyFill="1" applyBorder="1" applyAlignment="1">
      <alignment horizontal="left"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166" fontId="5" fillId="5" borderId="1" xfId="9" applyNumberFormat="1" applyFont="1" applyFill="1" applyBorder="1" applyAlignment="1">
      <alignment horizontal="left" vertical="center" wrapText="1"/>
    </xf>
    <xf numFmtId="166" fontId="5" fillId="5" borderId="1" xfId="9"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66" fontId="5" fillId="2" borderId="1" xfId="9" applyNumberFormat="1" applyFont="1" applyFill="1" applyBorder="1" applyAlignment="1">
      <alignment horizontal="left" vertical="center" wrapText="1"/>
    </xf>
    <xf numFmtId="166" fontId="5" fillId="2" borderId="1" xfId="9"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wrapText="1"/>
    </xf>
    <xf numFmtId="0" fontId="45" fillId="0" borderId="0" xfId="0" applyFont="1" applyAlignment="1">
      <alignment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3" fontId="17" fillId="5" borderId="1" xfId="0" applyNumberFormat="1" applyFont="1" applyFill="1" applyBorder="1" applyAlignment="1">
      <alignment horizontal="right"/>
    </xf>
    <xf numFmtId="3" fontId="9" fillId="5" borderId="1" xfId="0" applyNumberFormat="1" applyFont="1" applyFill="1" applyBorder="1" applyAlignment="1">
      <alignment horizontal="right" vertical="center"/>
    </xf>
    <xf numFmtId="3" fontId="9" fillId="5" borderId="1" xfId="0" applyNumberFormat="1" applyFont="1" applyFill="1" applyBorder="1" applyAlignment="1">
      <alignment horizontal="right" vertical="center" wrapText="1"/>
    </xf>
    <xf numFmtId="0" fontId="45" fillId="0" borderId="9" xfId="0" applyFont="1" applyBorder="1" applyAlignment="1">
      <alignment vertical="center"/>
    </xf>
    <xf numFmtId="167" fontId="31" fillId="2" borderId="1" xfId="9" applyNumberFormat="1" applyFont="1" applyFill="1" applyBorder="1" applyAlignment="1">
      <alignment horizontal="center" vertical="center"/>
    </xf>
    <xf numFmtId="0" fontId="16" fillId="0" borderId="1" xfId="0" applyFont="1" applyBorder="1" applyAlignment="1">
      <alignment horizontal="center" vertical="center" wrapText="1"/>
    </xf>
    <xf numFmtId="0" fontId="52" fillId="0" borderId="0" xfId="0" applyFont="1"/>
    <xf numFmtId="0" fontId="53" fillId="0" borderId="0" xfId="0" applyFont="1"/>
    <xf numFmtId="0" fontId="54" fillId="0" borderId="0" xfId="0" applyFont="1" applyAlignment="1">
      <alignment horizontal="center"/>
    </xf>
    <xf numFmtId="0" fontId="55" fillId="0" borderId="0" xfId="0" applyFont="1" applyAlignment="1">
      <alignment horizontal="left"/>
    </xf>
    <xf numFmtId="0" fontId="54" fillId="0" borderId="0" xfId="0" applyFont="1"/>
    <xf numFmtId="2" fontId="58" fillId="0" borderId="9" xfId="0" applyNumberFormat="1" applyFont="1" applyBorder="1" applyAlignment="1">
      <alignment vertical="top" wrapText="1"/>
    </xf>
    <xf numFmtId="0" fontId="53" fillId="0" borderId="1" xfId="0" applyFont="1" applyBorder="1" applyAlignment="1">
      <alignment horizontal="center" vertical="center" wrapText="1"/>
    </xf>
    <xf numFmtId="0" fontId="53" fillId="0" borderId="1" xfId="0" applyNumberFormat="1" applyFont="1" applyBorder="1" applyAlignment="1">
      <alignment horizontal="center" vertical="center" wrapText="1"/>
    </xf>
    <xf numFmtId="0" fontId="52" fillId="0" borderId="1" xfId="0" applyFont="1" applyBorder="1" applyAlignment="1">
      <alignment horizontal="center"/>
    </xf>
    <xf numFmtId="0" fontId="52" fillId="0" borderId="1" xfId="0" applyFont="1" applyBorder="1"/>
    <xf numFmtId="3" fontId="52" fillId="0" borderId="1" xfId="0" applyNumberFormat="1" applyFont="1" applyBorder="1" applyAlignment="1">
      <alignment horizontal="center"/>
    </xf>
    <xf numFmtId="0" fontId="53" fillId="0" borderId="1" xfId="0" applyFont="1" applyFill="1" applyBorder="1" applyAlignment="1">
      <alignment horizontal="center"/>
    </xf>
    <xf numFmtId="3" fontId="53" fillId="0" borderId="1" xfId="0" applyNumberFormat="1" applyFont="1" applyBorder="1" applyAlignment="1">
      <alignment horizontal="center"/>
    </xf>
    <xf numFmtId="0" fontId="53" fillId="0" borderId="1" xfId="0" applyFont="1" applyBorder="1" applyAlignment="1">
      <alignment horizontal="center"/>
    </xf>
    <xf numFmtId="2" fontId="52" fillId="0" borderId="1" xfId="0" applyNumberFormat="1" applyFont="1" applyBorder="1" applyAlignment="1">
      <alignment horizontal="left" vertical="center" wrapText="1"/>
    </xf>
    <xf numFmtId="3" fontId="52" fillId="0" borderId="1" xfId="0" applyNumberFormat="1" applyFont="1" applyBorder="1" applyAlignment="1">
      <alignment horizontal="center" vertical="center"/>
    </xf>
    <xf numFmtId="0" fontId="52" fillId="0" borderId="1" xfId="0" applyFont="1" applyBorder="1" applyAlignment="1">
      <alignment horizontal="center" vertical="center"/>
    </xf>
    <xf numFmtId="166" fontId="52" fillId="0" borderId="1" xfId="9" applyNumberFormat="1" applyFont="1" applyBorder="1" applyAlignment="1">
      <alignment horizontal="center" vertical="center"/>
    </xf>
    <xf numFmtId="0" fontId="53" fillId="0" borderId="1" xfId="0" applyFont="1" applyBorder="1"/>
    <xf numFmtId="3" fontId="60" fillId="0" borderId="0" xfId="0" applyNumberFormat="1" applyFont="1" applyAlignment="1">
      <alignment horizontal="center"/>
    </xf>
    <xf numFmtId="167" fontId="16" fillId="0" borderId="1" xfId="0" applyNumberFormat="1" applyFont="1" applyBorder="1" applyAlignment="1">
      <alignment vertical="center"/>
    </xf>
    <xf numFmtId="0" fontId="16" fillId="2" borderId="1" xfId="0" applyFont="1" applyFill="1" applyBorder="1" applyAlignment="1">
      <alignment vertical="center" wrapText="1"/>
    </xf>
    <xf numFmtId="0" fontId="5" fillId="0" borderId="1" xfId="0" applyFont="1" applyBorder="1" applyAlignment="1">
      <alignment horizontal="center" vertical="center" wrapText="1"/>
    </xf>
    <xf numFmtId="0" fontId="27" fillId="0" borderId="1" xfId="0" applyFont="1" applyBorder="1" applyAlignment="1">
      <alignment horizontal="center" vertical="center"/>
    </xf>
    <xf numFmtId="0" fontId="27" fillId="11" borderId="3" xfId="0" applyFont="1" applyFill="1" applyBorder="1" applyAlignment="1">
      <alignment horizontal="center" vertical="center" wrapText="1"/>
    </xf>
    <xf numFmtId="0" fontId="25"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xf>
    <xf numFmtId="49" fontId="5" fillId="0" borderId="1" xfId="0" applyNumberFormat="1" applyFont="1" applyBorder="1" applyAlignment="1">
      <alignment horizontal="center" vertical="center" wrapText="1"/>
    </xf>
    <xf numFmtId="0" fontId="0" fillId="0" borderId="4" xfId="0" applyBorder="1" applyAlignment="1">
      <alignment horizontal="center"/>
    </xf>
    <xf numFmtId="0" fontId="9"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7" fillId="0" borderId="0" xfId="0" applyFont="1" applyFill="1" applyAlignment="1">
      <alignment horizontal="center"/>
    </xf>
    <xf numFmtId="0" fontId="9" fillId="0"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64" fillId="0" borderId="4" xfId="0" applyFont="1" applyBorder="1" applyAlignment="1">
      <alignment horizontal="center"/>
    </xf>
    <xf numFmtId="0" fontId="14" fillId="0" borderId="0" xfId="5" applyFont="1" applyFill="1" applyAlignment="1">
      <alignment horizontal="center" vertical="center"/>
    </xf>
    <xf numFmtId="0" fontId="4" fillId="0" borderId="0" xfId="0" applyFont="1" applyFill="1" applyAlignment="1"/>
    <xf numFmtId="0" fontId="65" fillId="0" borderId="0" xfId="5" applyFont="1" applyFill="1" applyAlignment="1">
      <alignment vertical="center" wrapText="1"/>
    </xf>
    <xf numFmtId="0" fontId="65" fillId="0" borderId="0" xfId="5" applyFont="1" applyFill="1" applyAlignment="1">
      <alignment horizontal="center" vertical="center" wrapText="1"/>
    </xf>
    <xf numFmtId="0" fontId="67" fillId="0" borderId="0" xfId="0" applyFont="1"/>
    <xf numFmtId="0" fontId="64" fillId="0" borderId="0" xfId="5" applyFont="1" applyFill="1" applyAlignment="1">
      <alignment horizontal="center" vertical="center"/>
    </xf>
    <xf numFmtId="0" fontId="4" fillId="2" borderId="0" xfId="0" applyFont="1" applyFill="1" applyAlignment="1"/>
    <xf numFmtId="0" fontId="4" fillId="0" borderId="1" xfId="5" applyFont="1" applyFill="1" applyBorder="1" applyAlignment="1">
      <alignment horizontal="center" vertical="center" wrapText="1"/>
    </xf>
    <xf numFmtId="0" fontId="4" fillId="2" borderId="1" xfId="5" applyFont="1" applyFill="1" applyBorder="1" applyAlignment="1">
      <alignment horizontal="center" vertical="center" wrapText="1"/>
    </xf>
    <xf numFmtId="0" fontId="4" fillId="0" borderId="1" xfId="0" applyFont="1" applyBorder="1" applyAlignment="1">
      <alignment horizontal="center"/>
    </xf>
    <xf numFmtId="0" fontId="4" fillId="0" borderId="1" xfId="5" applyFont="1" applyFill="1" applyBorder="1" applyAlignment="1">
      <alignment horizontal="left" vertical="center" wrapText="1"/>
    </xf>
    <xf numFmtId="3" fontId="4" fillId="0" borderId="1" xfId="5" applyNumberFormat="1" applyFont="1" applyFill="1" applyBorder="1" applyAlignment="1">
      <alignment horizontal="right" vertical="center" wrapText="1"/>
    </xf>
    <xf numFmtId="166" fontId="4" fillId="0" borderId="1" xfId="9" applyNumberFormat="1" applyFont="1" applyFill="1" applyBorder="1" applyAlignment="1">
      <alignment horizontal="center" vertical="center" wrapText="1"/>
    </xf>
    <xf numFmtId="166" fontId="4" fillId="2" borderId="1" xfId="9" applyNumberFormat="1" applyFont="1" applyFill="1" applyBorder="1" applyAlignment="1">
      <alignment horizontal="center" vertical="center" wrapText="1"/>
    </xf>
    <xf numFmtId="41" fontId="4" fillId="0" borderId="1" xfId="8640" applyFont="1" applyBorder="1" applyAlignment="1">
      <alignment horizontal="center"/>
    </xf>
    <xf numFmtId="3" fontId="4" fillId="2" borderId="1" xfId="5" applyNumberFormat="1" applyFont="1" applyFill="1" applyBorder="1" applyAlignment="1">
      <alignment horizontal="left" vertical="center" wrapText="1"/>
    </xf>
    <xf numFmtId="3" fontId="4" fillId="2" borderId="1" xfId="5" applyNumberFormat="1" applyFont="1" applyFill="1" applyBorder="1" applyAlignment="1">
      <alignment horizontal="center" vertical="center" wrapText="1"/>
    </xf>
    <xf numFmtId="166" fontId="4" fillId="2" borderId="1" xfId="9" applyNumberFormat="1" applyFont="1" applyFill="1" applyBorder="1" applyAlignment="1">
      <alignment vertical="center" wrapText="1"/>
    </xf>
    <xf numFmtId="0" fontId="4" fillId="2" borderId="1" xfId="0" applyFont="1" applyFill="1" applyBorder="1" applyAlignment="1">
      <alignment vertical="center" wrapText="1"/>
    </xf>
    <xf numFmtId="0" fontId="4" fillId="2" borderId="1" xfId="5" applyFont="1" applyFill="1" applyBorder="1" applyAlignment="1">
      <alignment horizontal="left" vertical="center" wrapText="1"/>
    </xf>
    <xf numFmtId="166" fontId="64" fillId="2" borderId="1" xfId="9" applyNumberFormat="1" applyFont="1" applyFill="1" applyBorder="1" applyAlignment="1">
      <alignment horizontal="right" vertical="center" wrapText="1"/>
    </xf>
    <xf numFmtId="0" fontId="4" fillId="2" borderId="3" xfId="5" applyFont="1" applyFill="1" applyBorder="1" applyAlignment="1">
      <alignment horizontal="center" vertical="center" wrapText="1"/>
    </xf>
    <xf numFmtId="0" fontId="4" fillId="2" borderId="1" xfId="0" applyFont="1" applyFill="1" applyBorder="1"/>
    <xf numFmtId="3" fontId="4" fillId="2" borderId="1" xfId="0" applyNumberFormat="1" applyFont="1" applyFill="1" applyBorder="1" applyAlignment="1">
      <alignment horizontal="center"/>
    </xf>
    <xf numFmtId="3" fontId="4" fillId="2" borderId="1" xfId="0" applyNumberFormat="1" applyFont="1" applyFill="1" applyBorder="1"/>
    <xf numFmtId="0" fontId="5" fillId="0" borderId="1" xfId="0" applyFont="1" applyBorder="1"/>
    <xf numFmtId="166" fontId="4" fillId="2" borderId="1" xfId="9" applyNumberFormat="1" applyFont="1" applyFill="1" applyBorder="1" applyAlignment="1">
      <alignment horizontal="right" vertical="center" wrapText="1"/>
    </xf>
    <xf numFmtId="0" fontId="4" fillId="2" borderId="1" xfId="0" applyFont="1" applyFill="1" applyBorder="1" applyAlignment="1">
      <alignment horizontal="center" vertical="center" wrapText="1"/>
    </xf>
    <xf numFmtId="0" fontId="4" fillId="0" borderId="1" xfId="5" applyFont="1" applyFill="1" applyBorder="1" applyAlignment="1">
      <alignment vertical="center" wrapText="1"/>
    </xf>
    <xf numFmtId="0" fontId="64" fillId="0" borderId="1" xfId="5" applyFont="1" applyFill="1" applyBorder="1" applyAlignment="1">
      <alignment horizontal="center" vertical="center" wrapText="1"/>
    </xf>
    <xf numFmtId="3" fontId="4" fillId="0" borderId="1" xfId="5" applyNumberFormat="1" applyFont="1" applyFill="1" applyBorder="1" applyAlignment="1">
      <alignment horizontal="center" vertical="center" wrapText="1"/>
    </xf>
    <xf numFmtId="166" fontId="64" fillId="0" borderId="1" xfId="9" applyNumberFormat="1" applyFont="1" applyFill="1" applyBorder="1" applyAlignment="1">
      <alignment vertical="center" wrapText="1"/>
    </xf>
    <xf numFmtId="0" fontId="4" fillId="0" borderId="0" xfId="5" applyFont="1" applyFill="1" applyBorder="1" applyAlignment="1">
      <alignment vertical="center" wrapText="1"/>
    </xf>
    <xf numFmtId="0" fontId="64" fillId="0" borderId="0" xfId="5" applyFont="1" applyFill="1" applyBorder="1" applyAlignment="1">
      <alignment horizontal="center" vertical="center" wrapText="1"/>
    </xf>
    <xf numFmtId="3" fontId="4" fillId="0" borderId="0" xfId="5" applyNumberFormat="1" applyFont="1" applyFill="1" applyBorder="1" applyAlignment="1">
      <alignment horizontal="center" vertical="center" wrapText="1"/>
    </xf>
    <xf numFmtId="166" fontId="64" fillId="0" borderId="0" xfId="9" applyNumberFormat="1" applyFont="1" applyFill="1" applyBorder="1" applyAlignment="1">
      <alignment vertical="center" wrapText="1"/>
    </xf>
    <xf numFmtId="0" fontId="65" fillId="0" borderId="0" xfId="5" applyFont="1" applyAlignment="1">
      <alignment horizontal="center" vertical="center" wrapText="1"/>
    </xf>
    <xf numFmtId="0" fontId="64" fillId="0" borderId="0" xfId="5" applyFont="1" applyFill="1" applyAlignment="1">
      <alignment vertical="center"/>
    </xf>
    <xf numFmtId="0" fontId="22" fillId="0" borderId="1" xfId="5" applyFont="1" applyBorder="1" applyAlignment="1">
      <alignment horizontal="center" vertical="center" wrapText="1"/>
    </xf>
    <xf numFmtId="0" fontId="67" fillId="0" borderId="1" xfId="0" applyFont="1" applyBorder="1"/>
    <xf numFmtId="0" fontId="4" fillId="0" borderId="1" xfId="5" applyFont="1" applyBorder="1" applyAlignment="1">
      <alignment horizontal="center" vertical="center" wrapText="1"/>
    </xf>
    <xf numFmtId="0" fontId="4" fillId="0" borderId="1" xfId="0" applyFont="1" applyBorder="1" applyAlignment="1">
      <alignment vertical="center" wrapText="1"/>
    </xf>
    <xf numFmtId="3" fontId="4" fillId="0" borderId="1" xfId="5" applyNumberFormat="1" applyFont="1" applyFill="1" applyBorder="1" applyAlignment="1">
      <alignment horizontal="left" vertical="center" wrapText="1"/>
    </xf>
    <xf numFmtId="166" fontId="4" fillId="0" borderId="1" xfId="9" applyNumberFormat="1" applyFont="1" applyFill="1" applyBorder="1" applyAlignment="1">
      <alignment horizontal="right" vertical="center" wrapText="1"/>
    </xf>
    <xf numFmtId="166" fontId="4" fillId="0" borderId="1" xfId="9" applyNumberFormat="1" applyFont="1" applyFill="1" applyBorder="1" applyAlignment="1">
      <alignment vertical="center" wrapText="1"/>
    </xf>
    <xf numFmtId="166" fontId="4" fillId="0" borderId="1" xfId="9" applyNumberFormat="1" applyFont="1" applyBorder="1" applyAlignment="1">
      <alignment horizontal="center" vertical="center" wrapText="1"/>
    </xf>
    <xf numFmtId="166" fontId="4" fillId="0" borderId="1" xfId="9" applyNumberFormat="1" applyFont="1" applyBorder="1" applyAlignment="1">
      <alignment vertical="center" wrapText="1"/>
    </xf>
    <xf numFmtId="0" fontId="4" fillId="2" borderId="6" xfId="5" applyFont="1" applyFill="1" applyBorder="1" applyAlignment="1">
      <alignment vertical="center" wrapText="1"/>
    </xf>
    <xf numFmtId="3" fontId="4" fillId="4" borderId="1" xfId="5" applyNumberFormat="1" applyFont="1" applyFill="1" applyBorder="1" applyAlignment="1">
      <alignment horizontal="left" vertical="center" wrapText="1"/>
    </xf>
    <xf numFmtId="0" fontId="4" fillId="0" borderId="4" xfId="0" applyFont="1" applyBorder="1" applyAlignment="1">
      <alignment horizontal="center" vertical="center" wrapText="1"/>
    </xf>
    <xf numFmtId="0" fontId="4" fillId="2" borderId="1" xfId="5" applyFont="1" applyFill="1" applyBorder="1" applyAlignment="1">
      <alignment vertical="center" wrapText="1"/>
    </xf>
    <xf numFmtId="0" fontId="4" fillId="0" borderId="1" xfId="0" applyFont="1" applyFill="1" applyBorder="1" applyAlignment="1">
      <alignment vertical="center" wrapText="1"/>
    </xf>
    <xf numFmtId="3" fontId="4" fillId="0" borderId="1" xfId="5" applyNumberFormat="1" applyFont="1" applyBorder="1" applyAlignment="1">
      <alignment horizontal="left" vertical="center" wrapText="1"/>
    </xf>
    <xf numFmtId="0" fontId="4" fillId="0" borderId="1" xfId="0" applyFont="1" applyBorder="1" applyAlignment="1">
      <alignment horizontal="center" vertical="center" wrapText="1"/>
    </xf>
    <xf numFmtId="166" fontId="4" fillId="0" borderId="1" xfId="9" applyNumberFormat="1" applyFont="1" applyBorder="1" applyAlignment="1">
      <alignment horizontal="right" vertical="center" wrapText="1"/>
    </xf>
    <xf numFmtId="0" fontId="64" fillId="2" borderId="1" xfId="5" applyFont="1" applyFill="1" applyBorder="1" applyAlignment="1">
      <alignment horizontal="center" vertical="center" wrapText="1"/>
    </xf>
    <xf numFmtId="3" fontId="64" fillId="2" borderId="1" xfId="5" applyNumberFormat="1" applyFont="1" applyFill="1" applyBorder="1" applyAlignment="1">
      <alignment horizontal="right" vertical="center" wrapText="1"/>
    </xf>
    <xf numFmtId="0" fontId="4" fillId="0" borderId="0" xfId="0" applyFont="1"/>
    <xf numFmtId="0" fontId="4" fillId="0" borderId="0" xfId="0" applyFont="1" applyAlignment="1">
      <alignment horizontal="center"/>
    </xf>
    <xf numFmtId="0" fontId="4" fillId="0" borderId="0" xfId="0" applyFont="1" applyFill="1"/>
    <xf numFmtId="0" fontId="27" fillId="11" borderId="1" xfId="0" applyFont="1" applyFill="1" applyBorder="1" applyAlignment="1">
      <alignment horizontal="center" vertical="center" wrapText="1"/>
    </xf>
    <xf numFmtId="0" fontId="27" fillId="0" borderId="1" xfId="0" applyFont="1" applyBorder="1" applyAlignment="1">
      <alignment wrapText="1"/>
    </xf>
    <xf numFmtId="14" fontId="27" fillId="0" borderId="1" xfId="0" applyNumberFormat="1" applyFont="1" applyBorder="1"/>
    <xf numFmtId="14" fontId="27" fillId="0" borderId="1" xfId="0" applyNumberFormat="1" applyFont="1" applyBorder="1" applyAlignment="1"/>
    <xf numFmtId="0" fontId="27" fillId="0" borderId="1" xfId="0" applyFont="1" applyBorder="1" applyAlignment="1"/>
    <xf numFmtId="0" fontId="25" fillId="0" borderId="1" xfId="0" applyFont="1" applyBorder="1" applyAlignment="1">
      <alignment horizontal="center"/>
    </xf>
    <xf numFmtId="0" fontId="25" fillId="0" borderId="1" xfId="0" applyFont="1" applyBorder="1" applyAlignment="1">
      <alignment horizontal="center" vertical="center"/>
    </xf>
    <xf numFmtId="0" fontId="25" fillId="0" borderId="0" xfId="0" applyFont="1"/>
    <xf numFmtId="0" fontId="17" fillId="0" borderId="7" xfId="0" applyFont="1" applyBorder="1" applyAlignment="1">
      <alignment horizontal="left" vertical="top"/>
    </xf>
    <xf numFmtId="0" fontId="68" fillId="0" borderId="0" xfId="0" applyFont="1" applyAlignment="1">
      <alignment horizontal="center" vertical="center"/>
    </xf>
    <xf numFmtId="0" fontId="69" fillId="0" borderId="18" xfId="0" applyFont="1" applyBorder="1" applyAlignment="1">
      <alignment horizontal="left" vertical="center" wrapText="1" indent="2"/>
    </xf>
    <xf numFmtId="0" fontId="69" fillId="0" borderId="22" xfId="0" applyFont="1" applyBorder="1" applyAlignment="1">
      <alignment horizontal="center" vertical="center" wrapText="1"/>
    </xf>
    <xf numFmtId="14" fontId="69" fillId="0" borderId="22" xfId="0" applyNumberFormat="1" applyFont="1" applyBorder="1" applyAlignment="1">
      <alignment vertical="center" wrapText="1"/>
    </xf>
    <xf numFmtId="0" fontId="69" fillId="0" borderId="22" xfId="0" applyFont="1" applyBorder="1" applyAlignment="1">
      <alignment vertical="center" wrapText="1"/>
    </xf>
    <xf numFmtId="17" fontId="69" fillId="0" borderId="22" xfId="0" applyNumberFormat="1" applyFont="1" applyBorder="1" applyAlignment="1">
      <alignment vertical="center" wrapText="1"/>
    </xf>
    <xf numFmtId="0" fontId="69" fillId="0" borderId="0" xfId="0" applyFont="1" applyAlignment="1">
      <alignment horizontal="center"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xf numFmtId="166" fontId="70" fillId="0" borderId="0" xfId="9" applyNumberFormat="1" applyFont="1" applyAlignment="1">
      <alignment horizontal="center" vertical="center"/>
    </xf>
    <xf numFmtId="0" fontId="70" fillId="0" borderId="0" xfId="0" applyFont="1" applyAlignment="1">
      <alignment horizontal="center" vertical="center"/>
    </xf>
    <xf numFmtId="0" fontId="70" fillId="0" borderId="0" xfId="0" applyFont="1" applyAlignment="1">
      <alignment vertical="top"/>
    </xf>
    <xf numFmtId="0" fontId="73" fillId="0" borderId="0" xfId="0" applyFont="1" applyAlignment="1">
      <alignment horizontal="left" vertical="center"/>
    </xf>
    <xf numFmtId="0" fontId="70" fillId="0" borderId="0" xfId="0" applyFont="1" applyBorder="1" applyAlignment="1">
      <alignment horizontal="center" vertical="center"/>
    </xf>
    <xf numFmtId="166" fontId="70" fillId="0" borderId="0" xfId="9" applyNumberFormat="1" applyFont="1" applyBorder="1" applyAlignment="1">
      <alignment horizontal="center" vertical="center"/>
    </xf>
    <xf numFmtId="0" fontId="73" fillId="0" borderId="1" xfId="0" applyFont="1" applyBorder="1" applyAlignment="1">
      <alignment horizontal="center" vertical="center" wrapText="1"/>
    </xf>
    <xf numFmtId="166" fontId="73" fillId="0" borderId="1" xfId="9" applyNumberFormat="1" applyFont="1" applyBorder="1" applyAlignment="1">
      <alignment horizontal="center" vertical="center" wrapText="1"/>
    </xf>
    <xf numFmtId="0" fontId="70" fillId="0" borderId="1" xfId="0" applyFont="1" applyBorder="1" applyAlignment="1">
      <alignment horizontal="center" vertical="center" wrapText="1"/>
    </xf>
    <xf numFmtId="166" fontId="70" fillId="0" borderId="1" xfId="9" applyNumberFormat="1" applyFont="1" applyBorder="1" applyAlignment="1">
      <alignment horizontal="center" vertical="center" wrapText="1"/>
    </xf>
    <xf numFmtId="0" fontId="73" fillId="0" borderId="1" xfId="0" applyFont="1" applyBorder="1" applyAlignment="1">
      <alignment horizontal="center" vertical="center"/>
    </xf>
    <xf numFmtId="0" fontId="70" fillId="0" borderId="0" xfId="0" applyFont="1" applyAlignment="1">
      <alignment horizontal="center" vertical="center" wrapText="1"/>
    </xf>
    <xf numFmtId="0" fontId="70" fillId="0" borderId="0" xfId="0" applyFont="1" applyBorder="1" applyAlignment="1">
      <alignment horizontal="center" vertical="center" wrapText="1"/>
    </xf>
    <xf numFmtId="0" fontId="70" fillId="0" borderId="1" xfId="0" applyFont="1" applyBorder="1" applyAlignment="1">
      <alignment wrapText="1"/>
    </xf>
    <xf numFmtId="0" fontId="70" fillId="0" borderId="1" xfId="0" applyFont="1" applyBorder="1" applyAlignment="1">
      <alignment horizontal="center" vertical="center"/>
    </xf>
    <xf numFmtId="166" fontId="70" fillId="0" borderId="1" xfId="9" applyNumberFormat="1" applyFont="1" applyBorder="1" applyAlignment="1">
      <alignment horizontal="center" vertical="center"/>
    </xf>
    <xf numFmtId="166" fontId="73" fillId="0" borderId="1" xfId="9" applyNumberFormat="1" applyFont="1" applyBorder="1" applyAlignment="1">
      <alignment horizontal="center" vertical="center"/>
    </xf>
    <xf numFmtId="0" fontId="73" fillId="0" borderId="0" xfId="0" applyFont="1" applyBorder="1" applyAlignment="1">
      <alignment horizontal="center"/>
    </xf>
    <xf numFmtId="0" fontId="73" fillId="0" borderId="0" xfId="0" applyFont="1" applyBorder="1" applyAlignment="1">
      <alignment horizontal="center" vertical="center"/>
    </xf>
    <xf numFmtId="166" fontId="73" fillId="0" borderId="0" xfId="9" applyNumberFormat="1" applyFont="1" applyBorder="1" applyAlignment="1">
      <alignment horizontal="center" vertical="center"/>
    </xf>
    <xf numFmtId="0" fontId="70" fillId="0" borderId="0" xfId="0" applyFont="1" applyBorder="1"/>
    <xf numFmtId="166" fontId="70" fillId="0" borderId="0" xfId="9" applyNumberFormat="1" applyFont="1" applyBorder="1" applyAlignment="1">
      <alignment horizontal="center" vertical="center" wrapText="1"/>
    </xf>
    <xf numFmtId="0" fontId="70" fillId="0" borderId="0" xfId="0" applyFont="1" applyBorder="1" applyAlignment="1">
      <alignment horizontal="center"/>
    </xf>
    <xf numFmtId="0" fontId="70" fillId="0" borderId="0" xfId="0" applyFont="1" applyFill="1" applyBorder="1" applyAlignment="1">
      <alignment horizontal="center" vertical="center" wrapText="1"/>
    </xf>
    <xf numFmtId="166" fontId="70" fillId="0" borderId="0" xfId="9" applyNumberFormat="1" applyFont="1" applyFill="1" applyBorder="1" applyAlignment="1">
      <alignment horizontal="center" vertical="center" wrapText="1"/>
    </xf>
    <xf numFmtId="0" fontId="73" fillId="0" borderId="0" xfId="0" applyFont="1" applyBorder="1" applyAlignment="1">
      <alignment horizontal="center" vertical="center" wrapText="1"/>
    </xf>
    <xf numFmtId="166" fontId="73" fillId="0" borderId="0" xfId="9" applyNumberFormat="1" applyFont="1" applyBorder="1" applyAlignment="1">
      <alignment horizontal="center" vertical="center" wrapText="1"/>
    </xf>
    <xf numFmtId="0" fontId="70" fillId="0" borderId="0" xfId="0" applyFont="1" applyBorder="1" applyAlignment="1">
      <alignment horizontal="center" wrapText="1"/>
    </xf>
    <xf numFmtId="166" fontId="25" fillId="0" borderId="0" xfId="9" applyNumberFormat="1" applyFont="1" applyBorder="1" applyAlignment="1">
      <alignment horizontal="center" vertical="center"/>
    </xf>
    <xf numFmtId="0" fontId="25" fillId="0" borderId="0" xfId="0" applyFont="1" applyBorder="1"/>
    <xf numFmtId="0" fontId="74" fillId="0" borderId="0" xfId="0" applyFont="1" applyBorder="1" applyAlignment="1">
      <alignment horizontal="center" vertical="center" wrapText="1"/>
    </xf>
    <xf numFmtId="0" fontId="15" fillId="0" borderId="0" xfId="0" applyFont="1" applyBorder="1" applyAlignment="1">
      <alignment horizontal="center" vertical="center" wrapText="1"/>
    </xf>
    <xf numFmtId="166" fontId="15" fillId="0" borderId="0" xfId="9"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166" fontId="74" fillId="0" borderId="0" xfId="9" applyNumberFormat="1" applyFont="1" applyBorder="1" applyAlignment="1">
      <alignment horizontal="center" vertical="center" wrapText="1"/>
    </xf>
    <xf numFmtId="0" fontId="27" fillId="0" borderId="0" xfId="0" applyFont="1" applyBorder="1"/>
    <xf numFmtId="0" fontId="15" fillId="0" borderId="0" xfId="9" applyNumberFormat="1" applyFont="1" applyBorder="1" applyAlignment="1">
      <alignment horizontal="center" vertical="center"/>
    </xf>
    <xf numFmtId="0" fontId="27" fillId="0" borderId="0" xfId="0" applyNumberFormat="1" applyFont="1" applyBorder="1"/>
    <xf numFmtId="166" fontId="15" fillId="0" borderId="0" xfId="9" applyNumberFormat="1" applyFont="1" applyBorder="1" applyAlignment="1">
      <alignment horizontal="center" vertical="center"/>
    </xf>
    <xf numFmtId="0" fontId="9" fillId="0" borderId="0"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166" fontId="5" fillId="0" borderId="0" xfId="9" applyNumberFormat="1" applyFont="1" applyBorder="1" applyAlignment="1">
      <alignment horizontal="center" vertical="center"/>
    </xf>
    <xf numFmtId="166" fontId="9" fillId="0" borderId="0" xfId="9" applyNumberFormat="1" applyFont="1" applyBorder="1" applyAlignment="1">
      <alignment horizontal="center" vertical="center" wrapText="1"/>
    </xf>
    <xf numFmtId="0" fontId="5" fillId="0" borderId="0" xfId="0" applyNumberFormat="1" applyFont="1" applyBorder="1"/>
    <xf numFmtId="0" fontId="9"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xf numFmtId="0" fontId="9" fillId="0" borderId="0" xfId="0" applyFont="1" applyBorder="1" applyAlignment="1">
      <alignment horizontal="center" vertical="center"/>
    </xf>
    <xf numFmtId="0" fontId="5" fillId="0" borderId="0" xfId="0" applyFont="1" applyBorder="1" applyAlignment="1">
      <alignment horizontal="left" vertical="top"/>
    </xf>
    <xf numFmtId="0" fontId="5" fillId="0" borderId="0" xfId="0" applyFont="1" applyBorder="1" applyAlignment="1">
      <alignment horizontal="center" vertical="center"/>
    </xf>
    <xf numFmtId="166" fontId="5" fillId="0" borderId="0" xfId="9" applyNumberFormat="1" applyFont="1" applyBorder="1" applyAlignment="1">
      <alignment horizontal="center" vertical="center" wrapText="1"/>
    </xf>
    <xf numFmtId="0" fontId="9" fillId="0" borderId="0" xfId="0" applyFont="1" applyBorder="1" applyAlignment="1">
      <alignment horizontal="center"/>
    </xf>
    <xf numFmtId="166" fontId="9" fillId="0" borderId="0" xfId="9" applyNumberFormat="1"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center" vertical="top" wrapText="1"/>
    </xf>
    <xf numFmtId="0" fontId="5" fillId="5" borderId="0" xfId="0" applyFont="1" applyFill="1" applyBorder="1"/>
    <xf numFmtId="0" fontId="9" fillId="5" borderId="0" xfId="0" applyFont="1" applyFill="1" applyBorder="1" applyAlignment="1">
      <alignment horizontal="center" vertical="center"/>
    </xf>
    <xf numFmtId="0" fontId="5" fillId="5" borderId="0" xfId="0" applyFont="1" applyFill="1" applyBorder="1" applyAlignment="1">
      <alignment horizontal="center" vertical="center"/>
    </xf>
    <xf numFmtId="166" fontId="5" fillId="5" borderId="0" xfId="9" applyNumberFormat="1" applyFont="1" applyFill="1" applyBorder="1" applyAlignment="1">
      <alignment horizontal="center" vertical="center"/>
    </xf>
    <xf numFmtId="0" fontId="9" fillId="5" borderId="0" xfId="0" applyFont="1" applyFill="1" applyBorder="1"/>
    <xf numFmtId="0" fontId="9" fillId="5" borderId="0" xfId="0" applyFont="1" applyFill="1" applyBorder="1" applyAlignment="1">
      <alignment horizontal="center" vertical="top" wrapText="1"/>
    </xf>
    <xf numFmtId="0" fontId="9" fillId="5" borderId="0" xfId="0" applyFont="1" applyFill="1" applyBorder="1" applyAlignment="1">
      <alignment horizontal="center" vertical="center" wrapText="1"/>
    </xf>
    <xf numFmtId="166" fontId="9" fillId="5" borderId="0" xfId="9" applyNumberFormat="1" applyFont="1" applyFill="1" applyBorder="1" applyAlignment="1">
      <alignment horizontal="center" vertical="center" wrapText="1"/>
    </xf>
    <xf numFmtId="0" fontId="5" fillId="5" borderId="0" xfId="0" applyFont="1" applyFill="1" applyBorder="1" applyAlignment="1">
      <alignment horizontal="center" vertical="top" wrapText="1"/>
    </xf>
    <xf numFmtId="0" fontId="5" fillId="5" borderId="0" xfId="0" applyFont="1" applyFill="1" applyBorder="1" applyAlignment="1">
      <alignment horizontal="center" vertical="center" wrapText="1"/>
    </xf>
    <xf numFmtId="166" fontId="5" fillId="5" borderId="0" xfId="9" applyNumberFormat="1" applyFont="1" applyFill="1" applyBorder="1" applyAlignment="1">
      <alignment horizontal="center" vertical="center" wrapText="1"/>
    </xf>
    <xf numFmtId="0" fontId="5" fillId="5" borderId="0" xfId="0" applyFont="1" applyFill="1" applyBorder="1" applyAlignment="1">
      <alignment horizontal="center" vertical="top"/>
    </xf>
    <xf numFmtId="0" fontId="17" fillId="0" borderId="0" xfId="0" applyFont="1" applyBorder="1" applyAlignment="1">
      <alignment horizontal="center" vertical="center" wrapText="1"/>
    </xf>
    <xf numFmtId="166" fontId="17" fillId="0" borderId="0" xfId="9" applyNumberFormat="1" applyFont="1" applyBorder="1" applyAlignment="1">
      <alignment horizontal="center" vertical="center" wrapText="1"/>
    </xf>
    <xf numFmtId="0" fontId="27" fillId="0" borderId="0" xfId="0" applyFont="1" applyBorder="1" applyAlignment="1">
      <alignment horizontal="center" vertical="center" wrapText="1"/>
    </xf>
    <xf numFmtId="3" fontId="27" fillId="0" borderId="0" xfId="0" applyNumberFormat="1" applyFont="1" applyBorder="1" applyAlignment="1">
      <alignment horizontal="center" vertical="center" wrapText="1"/>
    </xf>
    <xf numFmtId="166" fontId="27" fillId="0" borderId="0" xfId="9" applyNumberFormat="1" applyFont="1" applyBorder="1" applyAlignment="1">
      <alignment horizontal="center" vertical="center" wrapText="1"/>
    </xf>
    <xf numFmtId="171" fontId="27" fillId="0" borderId="0" xfId="9" applyNumberFormat="1" applyFont="1" applyBorder="1" applyAlignment="1">
      <alignment horizontal="center" vertical="center" wrapText="1"/>
    </xf>
    <xf numFmtId="0" fontId="68" fillId="8" borderId="0" xfId="0" applyFont="1" applyFill="1" applyBorder="1" applyAlignment="1">
      <alignment horizontal="center" vertical="center"/>
    </xf>
    <xf numFmtId="166" fontId="68" fillId="8" borderId="0" xfId="9" applyNumberFormat="1" applyFont="1" applyFill="1" applyBorder="1" applyAlignment="1">
      <alignment horizontal="center" vertical="center"/>
    </xf>
    <xf numFmtId="166" fontId="24" fillId="0" borderId="0" xfId="9" applyNumberFormat="1" applyFont="1" applyBorder="1" applyAlignment="1">
      <alignment horizontal="center"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68" fillId="0" borderId="0" xfId="0" applyFont="1" applyBorder="1" applyAlignment="1">
      <alignment horizontal="center" vertical="center"/>
    </xf>
    <xf numFmtId="166" fontId="27" fillId="0" borderId="0" xfId="9" applyNumberFormat="1" applyFont="1" applyBorder="1" applyAlignment="1">
      <alignment horizontal="center" vertical="center"/>
    </xf>
    <xf numFmtId="0" fontId="27" fillId="0" borderId="0" xfId="0" applyFont="1" applyBorder="1" applyAlignment="1">
      <alignment horizontal="center" vertical="center"/>
    </xf>
    <xf numFmtId="0" fontId="27" fillId="0" borderId="0" xfId="0" applyFont="1" applyBorder="1" applyAlignment="1">
      <alignment vertical="center" wrapText="1"/>
    </xf>
    <xf numFmtId="0" fontId="25" fillId="0" borderId="0" xfId="0" applyFont="1" applyBorder="1" applyAlignment="1">
      <alignment vertical="center"/>
    </xf>
    <xf numFmtId="0" fontId="25" fillId="0" borderId="0" xfId="0" applyFont="1" applyBorder="1" applyAlignment="1">
      <alignment horizontal="center" vertical="center"/>
    </xf>
    <xf numFmtId="0" fontId="25" fillId="0" borderId="0" xfId="0" applyFont="1" applyBorder="1" applyAlignment="1">
      <alignment vertical="center" wrapText="1"/>
    </xf>
    <xf numFmtId="0" fontId="25" fillId="0" borderId="0" xfId="0" applyFont="1" applyBorder="1" applyAlignment="1">
      <alignment horizontal="center" vertical="center" wrapText="1"/>
    </xf>
    <xf numFmtId="166" fontId="25" fillId="0" borderId="0" xfId="9" applyNumberFormat="1" applyFont="1" applyBorder="1" applyAlignment="1">
      <alignment horizontal="center" vertical="center" wrapText="1"/>
    </xf>
    <xf numFmtId="166" fontId="75" fillId="0" borderId="0" xfId="9" applyNumberFormat="1" applyFont="1" applyBorder="1" applyAlignment="1">
      <alignment horizontal="center" vertical="center" wrapText="1"/>
    </xf>
    <xf numFmtId="167" fontId="25" fillId="0" borderId="0" xfId="9" applyNumberFormat="1" applyFont="1" applyBorder="1"/>
    <xf numFmtId="0" fontId="23" fillId="0" borderId="0" xfId="0" applyFont="1" applyBorder="1" applyAlignment="1">
      <alignment horizontal="center" vertical="center" wrapText="1"/>
    </xf>
    <xf numFmtId="0" fontId="76" fillId="0" borderId="0" xfId="0" applyFont="1" applyBorder="1" applyAlignment="1">
      <alignment horizontal="center" vertical="center" wrapText="1"/>
    </xf>
    <xf numFmtId="167" fontId="76" fillId="0" borderId="0" xfId="9" applyNumberFormat="1" applyFont="1" applyBorder="1" applyAlignment="1">
      <alignment horizontal="center" vertical="center" wrapText="1"/>
    </xf>
    <xf numFmtId="167" fontId="75" fillId="10" borderId="1" xfId="9"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vertical="center" wrapText="1"/>
    </xf>
    <xf numFmtId="167" fontId="25" fillId="2" borderId="1" xfId="9" applyNumberFormat="1" applyFont="1" applyFill="1" applyBorder="1" applyAlignment="1">
      <alignment horizontal="center" vertical="center" wrapText="1"/>
    </xf>
    <xf numFmtId="0" fontId="25" fillId="2" borderId="0" xfId="0" applyFont="1" applyFill="1" applyBorder="1"/>
    <xf numFmtId="167" fontId="25" fillId="2" borderId="0" xfId="9" applyNumberFormat="1" applyFont="1" applyFill="1" applyBorder="1"/>
    <xf numFmtId="0" fontId="25" fillId="2" borderId="0" xfId="0" applyFont="1" applyFill="1"/>
    <xf numFmtId="0" fontId="75" fillId="0" borderId="1" xfId="0" applyFont="1" applyBorder="1" applyAlignment="1">
      <alignment horizontal="left"/>
    </xf>
    <xf numFmtId="167" fontId="75" fillId="5" borderId="1" xfId="9" applyNumberFormat="1" applyFont="1" applyFill="1" applyBorder="1"/>
    <xf numFmtId="0" fontId="24" fillId="2" borderId="1" xfId="0" applyFont="1" applyFill="1" applyBorder="1" applyAlignment="1">
      <alignment vertical="center" wrapText="1"/>
    </xf>
    <xf numFmtId="167" fontId="75" fillId="0" borderId="1" xfId="9" applyNumberFormat="1" applyFont="1" applyBorder="1"/>
    <xf numFmtId="0" fontId="25" fillId="0" borderId="0" xfId="0" applyFont="1" applyBorder="1" applyAlignment="1">
      <alignment horizontal="center"/>
    </xf>
    <xf numFmtId="0" fontId="75" fillId="0" borderId="0" xfId="0" applyFont="1" applyBorder="1" applyAlignment="1">
      <alignment horizontal="left"/>
    </xf>
    <xf numFmtId="167" fontId="75" fillId="0" borderId="0" xfId="9" applyNumberFormat="1" applyFont="1" applyBorder="1"/>
    <xf numFmtId="0" fontId="25" fillId="0" borderId="0" xfId="0" applyFont="1" applyAlignment="1">
      <alignment horizontal="center"/>
    </xf>
    <xf numFmtId="0" fontId="25" fillId="0" borderId="0" xfId="0" applyFont="1" applyAlignment="1">
      <alignment horizontal="left"/>
    </xf>
    <xf numFmtId="167" fontId="25" fillId="0" borderId="0" xfId="9" applyNumberFormat="1" applyFont="1"/>
    <xf numFmtId="0" fontId="76" fillId="0" borderId="9" xfId="0" applyFont="1" applyBorder="1" applyAlignment="1">
      <alignment horizontal="center" vertical="top" wrapText="1"/>
    </xf>
    <xf numFmtId="0" fontId="23" fillId="0" borderId="9" xfId="0" applyFont="1" applyBorder="1" applyAlignment="1">
      <alignment horizontal="center" vertical="top" wrapText="1"/>
    </xf>
    <xf numFmtId="0" fontId="23" fillId="0" borderId="0" xfId="0" applyFont="1" applyBorder="1" applyAlignment="1">
      <alignment horizontal="center" vertical="top" wrapText="1"/>
    </xf>
    <xf numFmtId="43" fontId="17" fillId="0" borderId="1" xfId="9" applyFont="1" applyBorder="1" applyAlignment="1">
      <alignment horizontal="center" vertical="center" textRotation="90" wrapText="1"/>
    </xf>
    <xf numFmtId="0" fontId="27" fillId="0" borderId="1" xfId="0" applyFont="1" applyFill="1" applyBorder="1" applyAlignment="1">
      <alignment horizontal="center" vertical="center" wrapText="1"/>
    </xf>
    <xf numFmtId="0" fontId="25" fillId="0" borderId="0" xfId="0" applyFont="1" applyAlignment="1">
      <alignment wrapText="1"/>
    </xf>
    <xf numFmtId="0" fontId="5" fillId="2" borderId="1" xfId="0" applyFont="1" applyFill="1" applyBorder="1" applyAlignment="1">
      <alignment vertical="center" wrapText="1"/>
    </xf>
    <xf numFmtId="0" fontId="27" fillId="0" borderId="4" xfId="0" applyFont="1" applyBorder="1" applyAlignment="1">
      <alignment horizontal="center" vertical="center" wrapText="1"/>
    </xf>
    <xf numFmtId="0" fontId="5" fillId="2" borderId="1" xfId="8639" applyFont="1" applyFill="1" applyBorder="1" applyAlignment="1" applyProtection="1">
      <alignment vertical="center" wrapText="1"/>
    </xf>
    <xf numFmtId="0" fontId="5" fillId="2" borderId="1" xfId="8639" applyFont="1" applyFill="1" applyBorder="1" applyAlignment="1" applyProtection="1">
      <alignment horizontal="left" vertical="center" wrapText="1"/>
    </xf>
    <xf numFmtId="0" fontId="9" fillId="11" borderId="4" xfId="8639" applyFont="1" applyFill="1" applyBorder="1" applyAlignment="1" applyProtection="1">
      <alignment vertical="center" wrapText="1"/>
    </xf>
    <xf numFmtId="0" fontId="17" fillId="11" borderId="1" xfId="0" applyFont="1" applyFill="1" applyBorder="1" applyAlignment="1">
      <alignment horizontal="center" vertical="center" wrapText="1"/>
    </xf>
    <xf numFmtId="0" fontId="27" fillId="0" borderId="1" xfId="0" applyFont="1" applyBorder="1" applyAlignment="1">
      <alignment horizont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27" fillId="2" borderId="4" xfId="0" applyFont="1" applyFill="1" applyBorder="1" applyAlignment="1">
      <alignment horizontal="center" vertical="center" wrapText="1"/>
    </xf>
    <xf numFmtId="0" fontId="27" fillId="0" borderId="7" xfId="0" applyFont="1" applyBorder="1" applyAlignment="1">
      <alignment horizontal="center" vertical="center" wrapText="1"/>
    </xf>
    <xf numFmtId="0" fontId="15" fillId="2" borderId="7" xfId="0" applyFont="1" applyFill="1" applyBorder="1" applyAlignment="1">
      <alignment horizontal="center" vertical="center" wrapText="1"/>
    </xf>
    <xf numFmtId="0" fontId="15" fillId="2" borderId="3" xfId="0" applyFont="1" applyFill="1" applyBorder="1" applyAlignment="1">
      <alignment vertical="center" wrapText="1"/>
    </xf>
    <xf numFmtId="0" fontId="27" fillId="11" borderId="3" xfId="0" applyFont="1" applyFill="1" applyBorder="1" applyAlignment="1">
      <alignment horizontal="center" wrapText="1"/>
    </xf>
    <xf numFmtId="0" fontId="15" fillId="3" borderId="1" xfId="0" applyFont="1" applyFill="1" applyBorder="1" applyAlignment="1">
      <alignment vertical="center" wrapText="1"/>
    </xf>
    <xf numFmtId="0" fontId="15" fillId="0" borderId="1" xfId="0" applyFont="1" applyBorder="1" applyAlignment="1">
      <alignment vertical="center" wrapText="1"/>
    </xf>
    <xf numFmtId="0" fontId="27" fillId="2" borderId="1" xfId="0" applyFont="1" applyFill="1" applyBorder="1" applyAlignment="1">
      <alignment horizontal="center" vertical="center" wrapText="1"/>
    </xf>
    <xf numFmtId="0" fontId="15" fillId="0" borderId="1" xfId="0" applyFont="1" applyFill="1" applyBorder="1" applyAlignment="1">
      <alignment vertical="center" wrapText="1"/>
    </xf>
    <xf numFmtId="0" fontId="27" fillId="0" borderId="4" xfId="0" applyFont="1" applyFill="1" applyBorder="1" applyAlignment="1">
      <alignment horizontal="center" vertical="center" wrapText="1"/>
    </xf>
    <xf numFmtId="0" fontId="17" fillId="0" borderId="1" xfId="0" applyFont="1" applyBorder="1" applyAlignment="1">
      <alignment wrapText="1"/>
    </xf>
    <xf numFmtId="0" fontId="17" fillId="0" borderId="1" xfId="0" applyFont="1" applyBorder="1" applyAlignment="1">
      <alignment horizontal="center" vertical="center" wrapText="1"/>
    </xf>
    <xf numFmtId="0" fontId="25" fillId="0" borderId="0" xfId="0" applyFont="1" applyAlignment="1">
      <alignment horizontal="center" wrapText="1"/>
    </xf>
    <xf numFmtId="0" fontId="25" fillId="0" borderId="1" xfId="0" applyFont="1" applyBorder="1" applyAlignment="1">
      <alignment horizontal="right" vertical="center"/>
    </xf>
    <xf numFmtId="0" fontId="25" fillId="0" borderId="1" xfId="0" applyFont="1" applyBorder="1" applyAlignment="1">
      <alignment horizontal="left" vertical="center" wrapText="1" indent="3"/>
    </xf>
    <xf numFmtId="0" fontId="25" fillId="0" borderId="1" xfId="0" applyFont="1" applyBorder="1" applyAlignment="1">
      <alignment horizontal="right"/>
    </xf>
    <xf numFmtId="0" fontId="25" fillId="0" borderId="0" xfId="0" applyFont="1" applyAlignment="1">
      <alignment vertical="center" wrapText="1"/>
    </xf>
    <xf numFmtId="43" fontId="25" fillId="0" borderId="0" xfId="9" applyFont="1"/>
    <xf numFmtId="0" fontId="25" fillId="0" borderId="1" xfId="0" applyFont="1" applyBorder="1" applyAlignment="1">
      <alignment vertical="center"/>
    </xf>
    <xf numFmtId="0" fontId="25" fillId="0" borderId="1" xfId="0" applyFont="1" applyBorder="1" applyAlignment="1">
      <alignment wrapText="1"/>
    </xf>
    <xf numFmtId="0" fontId="23" fillId="0" borderId="0" xfId="0" applyFont="1" applyBorder="1" applyAlignment="1">
      <alignment vertical="top" wrapText="1"/>
    </xf>
    <xf numFmtId="0" fontId="76" fillId="0" borderId="0" xfId="0" applyFont="1" applyBorder="1" applyAlignment="1">
      <alignment horizontal="center" vertical="top" wrapText="1"/>
    </xf>
    <xf numFmtId="0" fontId="27" fillId="0" borderId="0" xfId="0" applyFont="1" applyBorder="1" applyAlignment="1">
      <alignment horizontal="center" vertical="top" wrapText="1"/>
    </xf>
    <xf numFmtId="43" fontId="27" fillId="0" borderId="1" xfId="9" applyFont="1" applyBorder="1" applyAlignment="1">
      <alignment horizontal="left" vertical="center" wrapText="1"/>
    </xf>
    <xf numFmtId="1" fontId="27" fillId="0" borderId="1" xfId="0" applyNumberFormat="1" applyFont="1" applyBorder="1" applyAlignment="1">
      <alignment horizontal="center" vertical="center"/>
    </xf>
    <xf numFmtId="172" fontId="27" fillId="0" borderId="1" xfId="0" applyNumberFormat="1" applyFont="1" applyBorder="1" applyAlignment="1">
      <alignment horizontal="center" vertical="center"/>
    </xf>
    <xf numFmtId="0" fontId="27" fillId="0" borderId="1" xfId="0" applyFont="1" applyBorder="1"/>
    <xf numFmtId="0" fontId="17" fillId="0" borderId="1" xfId="0" applyFont="1" applyBorder="1"/>
    <xf numFmtId="0" fontId="17" fillId="0" borderId="1" xfId="0" applyFont="1" applyBorder="1" applyAlignment="1">
      <alignment horizontal="center" vertical="center"/>
    </xf>
    <xf numFmtId="167" fontId="17" fillId="0" borderId="1" xfId="9" applyNumberFormat="1" applyFont="1" applyBorder="1" applyAlignment="1">
      <alignment horizontal="center" vertical="center"/>
    </xf>
    <xf numFmtId="1" fontId="17" fillId="0" borderId="1" xfId="0" applyNumberFormat="1" applyFont="1" applyBorder="1" applyAlignment="1">
      <alignment horizontal="center" vertical="center"/>
    </xf>
    <xf numFmtId="0" fontId="27" fillId="0" borderId="0" xfId="0" applyFont="1"/>
    <xf numFmtId="0" fontId="42" fillId="0" borderId="0" xfId="0" applyFont="1" applyBorder="1" applyAlignment="1">
      <alignment horizontal="left" vertical="center" wrapText="1"/>
    </xf>
    <xf numFmtId="0" fontId="39" fillId="0" borderId="0" xfId="0" applyFont="1" applyBorder="1" applyAlignment="1">
      <alignment horizontal="left" vertical="center" wrapText="1"/>
    </xf>
    <xf numFmtId="166" fontId="39" fillId="0" borderId="0" xfId="9" applyNumberFormat="1" applyFont="1" applyBorder="1" applyAlignment="1">
      <alignment horizontal="right" vertical="center" wrapText="1"/>
    </xf>
    <xf numFmtId="167" fontId="39" fillId="0" borderId="0" xfId="9" applyNumberFormat="1" applyFont="1" applyBorder="1" applyAlignment="1">
      <alignment horizontal="right" vertical="center" wrapText="1"/>
    </xf>
    <xf numFmtId="167" fontId="42" fillId="0" borderId="0" xfId="9" applyNumberFormat="1" applyFont="1" applyBorder="1" applyAlignment="1">
      <alignment horizontal="right" vertical="center" wrapText="1"/>
    </xf>
    <xf numFmtId="0" fontId="39" fillId="0" borderId="0" xfId="0" applyFont="1" applyAlignment="1">
      <alignment horizontal="left" vertical="center" wrapText="1"/>
    </xf>
    <xf numFmtId="0" fontId="42" fillId="0" borderId="0" xfId="0" applyFont="1" applyBorder="1" applyAlignment="1">
      <alignment horizontal="center" vertical="center" wrapText="1"/>
    </xf>
    <xf numFmtId="0" fontId="42" fillId="0" borderId="9" xfId="0" applyFont="1" applyBorder="1" applyAlignment="1">
      <alignment horizontal="center" vertical="center" wrapText="1"/>
    </xf>
    <xf numFmtId="167" fontId="42" fillId="0" borderId="9" xfId="9" applyNumberFormat="1" applyFont="1" applyBorder="1" applyAlignment="1">
      <alignment horizontal="center" vertical="center" wrapText="1"/>
    </xf>
    <xf numFmtId="167" fontId="42" fillId="0" borderId="0" xfId="9" applyNumberFormat="1" applyFont="1" applyBorder="1" applyAlignment="1">
      <alignment horizontal="center" vertical="center" wrapText="1"/>
    </xf>
    <xf numFmtId="0" fontId="42" fillId="0" borderId="1" xfId="0" applyFont="1" applyBorder="1" applyAlignment="1">
      <alignment horizontal="right" vertical="center" wrapText="1"/>
    </xf>
    <xf numFmtId="167" fontId="42" fillId="0" borderId="1" xfId="9" applyNumberFormat="1" applyFont="1" applyBorder="1" applyAlignment="1">
      <alignment horizontal="right" vertical="center" wrapText="1"/>
    </xf>
    <xf numFmtId="166" fontId="39" fillId="0" borderId="1" xfId="9" applyNumberFormat="1" applyFont="1" applyBorder="1" applyAlignment="1">
      <alignment horizontal="right" vertical="center" wrapText="1"/>
    </xf>
    <xf numFmtId="167" fontId="39" fillId="0" borderId="1" xfId="9" applyNumberFormat="1" applyFont="1" applyBorder="1" applyAlignment="1">
      <alignment horizontal="right" vertical="center" wrapText="1"/>
    </xf>
    <xf numFmtId="0" fontId="42" fillId="0" borderId="1" xfId="0" applyFont="1" applyBorder="1" applyAlignment="1">
      <alignment horizontal="left" vertical="center" wrapText="1"/>
    </xf>
    <xf numFmtId="0" fontId="39" fillId="0" borderId="1" xfId="0" applyFont="1" applyFill="1" applyBorder="1" applyAlignment="1">
      <alignment horizontal="left" vertical="center" wrapText="1"/>
    </xf>
    <xf numFmtId="166" fontId="39" fillId="0" borderId="1" xfId="9" applyNumberFormat="1" applyFont="1" applyFill="1" applyBorder="1" applyAlignment="1">
      <alignment horizontal="right" vertical="center" wrapText="1"/>
    </xf>
    <xf numFmtId="166" fontId="42" fillId="0" borderId="1" xfId="9" applyNumberFormat="1" applyFont="1" applyBorder="1" applyAlignment="1">
      <alignment horizontal="right" vertical="center" wrapText="1"/>
    </xf>
    <xf numFmtId="0" fontId="39" fillId="0" borderId="0" xfId="0" applyFont="1" applyAlignment="1">
      <alignment horizontal="right" vertical="center" wrapText="1"/>
    </xf>
    <xf numFmtId="167" fontId="39" fillId="0" borderId="0" xfId="9" applyNumberFormat="1" applyFont="1" applyAlignment="1">
      <alignment horizontal="right" vertical="center" wrapText="1"/>
    </xf>
    <xf numFmtId="0" fontId="0" fillId="0" borderId="0" xfId="0" applyAlignment="1">
      <alignment horizontal="left" vertical="center" wrapText="1"/>
    </xf>
    <xf numFmtId="167" fontId="42" fillId="0" borderId="0" xfId="9" applyNumberFormat="1" applyFont="1" applyBorder="1" applyAlignment="1">
      <alignment horizontal="left" vertical="center" wrapText="1"/>
    </xf>
    <xf numFmtId="167" fontId="42" fillId="0" borderId="1" xfId="9" applyNumberFormat="1" applyFont="1" applyBorder="1" applyAlignment="1">
      <alignment horizontal="left" vertical="center" wrapText="1"/>
    </xf>
    <xf numFmtId="166" fontId="39" fillId="0" borderId="1" xfId="9" applyNumberFormat="1" applyFont="1" applyBorder="1" applyAlignment="1">
      <alignment horizontal="left" vertical="center" wrapText="1"/>
    </xf>
    <xf numFmtId="167" fontId="39" fillId="0" borderId="1" xfId="9" applyNumberFormat="1" applyFont="1" applyBorder="1" applyAlignment="1">
      <alignment horizontal="left" vertical="center" wrapText="1"/>
    </xf>
    <xf numFmtId="166" fontId="39" fillId="0" borderId="1" xfId="9" applyNumberFormat="1" applyFont="1" applyFill="1" applyBorder="1" applyAlignment="1">
      <alignment horizontal="left" vertical="center" wrapText="1"/>
    </xf>
    <xf numFmtId="166" fontId="42" fillId="0" borderId="1" xfId="9" applyNumberFormat="1" applyFont="1" applyBorder="1" applyAlignment="1">
      <alignment horizontal="left" vertical="center" wrapText="1"/>
    </xf>
    <xf numFmtId="166" fontId="42" fillId="0" borderId="0" xfId="9" applyNumberFormat="1" applyFont="1" applyBorder="1" applyAlignment="1">
      <alignment horizontal="left" vertical="center" wrapText="1"/>
    </xf>
    <xf numFmtId="167" fontId="39" fillId="0" borderId="0" xfId="9" applyNumberFormat="1" applyFont="1" applyBorder="1" applyAlignment="1">
      <alignment horizontal="left" vertical="center" wrapText="1"/>
    </xf>
    <xf numFmtId="167" fontId="39" fillId="0" borderId="0" xfId="9" applyNumberFormat="1" applyFont="1" applyAlignment="1">
      <alignment horizontal="left" vertical="center" wrapText="1"/>
    </xf>
    <xf numFmtId="0" fontId="0" fillId="0" borderId="0" xfId="0" applyBorder="1" applyAlignment="1">
      <alignment horizontal="left" vertical="center" wrapText="1"/>
    </xf>
    <xf numFmtId="14" fontId="76" fillId="0" borderId="0" xfId="0" applyNumberFormat="1" applyFont="1" applyBorder="1" applyAlignment="1">
      <alignment horizontal="right" vertical="center" wrapText="1"/>
    </xf>
    <xf numFmtId="0" fontId="25" fillId="10" borderId="1" xfId="0" applyFont="1" applyFill="1" applyBorder="1" applyAlignment="1">
      <alignment horizontal="center" vertical="center" wrapText="1"/>
    </xf>
    <xf numFmtId="0" fontId="75" fillId="10" borderId="1" xfId="0" applyFont="1" applyFill="1" applyBorder="1" applyAlignment="1">
      <alignment horizontal="left" vertical="center" wrapText="1"/>
    </xf>
    <xf numFmtId="0" fontId="75" fillId="10" borderId="1" xfId="0" applyFont="1" applyFill="1" applyBorder="1" applyAlignment="1">
      <alignment horizontal="center" vertical="center" wrapText="1"/>
    </xf>
    <xf numFmtId="167" fontId="24" fillId="2" borderId="1" xfId="9" applyNumberFormat="1" applyFont="1" applyFill="1" applyBorder="1" applyAlignment="1">
      <alignment horizontal="center" vertical="center"/>
    </xf>
    <xf numFmtId="0" fontId="25" fillId="2" borderId="1" xfId="0" applyFont="1" applyFill="1" applyBorder="1" applyAlignment="1">
      <alignment horizontal="left" vertical="center" wrapText="1"/>
    </xf>
    <xf numFmtId="0" fontId="75" fillId="0" borderId="1" xfId="0" applyFont="1" applyBorder="1" applyAlignment="1">
      <alignment horizontal="left" vertical="center"/>
    </xf>
    <xf numFmtId="0" fontId="24" fillId="2" borderId="2" xfId="0" applyFont="1" applyFill="1" applyBorder="1" applyAlignment="1">
      <alignment vertical="center" wrapText="1"/>
    </xf>
    <xf numFmtId="0" fontId="25" fillId="2" borderId="2" xfId="0" applyFont="1" applyFill="1" applyBorder="1" applyAlignment="1">
      <alignment horizontal="center" vertical="center" wrapText="1"/>
    </xf>
    <xf numFmtId="0" fontId="25" fillId="2" borderId="7" xfId="0" applyFont="1" applyFill="1" applyBorder="1" applyAlignment="1">
      <alignment vertical="center" wrapText="1"/>
    </xf>
    <xf numFmtId="0" fontId="24" fillId="2" borderId="1" xfId="0" applyFont="1" applyFill="1" applyBorder="1" applyAlignment="1">
      <alignment horizontal="center" vertical="center" wrapText="1"/>
    </xf>
    <xf numFmtId="0" fontId="68" fillId="2" borderId="1" xfId="0" applyFont="1" applyFill="1" applyBorder="1" applyAlignment="1">
      <alignment horizontal="left" vertical="center" wrapText="1"/>
    </xf>
    <xf numFmtId="167" fontId="24" fillId="2" borderId="1" xfId="9" applyNumberFormat="1" applyFont="1" applyFill="1" applyBorder="1" applyAlignment="1">
      <alignment horizontal="left" vertical="center" wrapText="1"/>
    </xf>
    <xf numFmtId="167" fontId="25" fillId="0" borderId="1" xfId="9" applyNumberFormat="1" applyFont="1" applyBorder="1" applyAlignment="1">
      <alignment horizontal="center" vertical="center"/>
    </xf>
    <xf numFmtId="0" fontId="25" fillId="0" borderId="1" xfId="0" applyFont="1" applyBorder="1" applyAlignment="1">
      <alignment horizontal="left" vertical="center" wrapText="1"/>
    </xf>
    <xf numFmtId="167" fontId="75" fillId="5" borderId="1" xfId="9" applyNumberFormat="1" applyFont="1" applyFill="1" applyBorder="1" applyAlignment="1">
      <alignment horizontal="center" vertical="center"/>
    </xf>
    <xf numFmtId="0" fontId="25" fillId="0" borderId="1" xfId="0" applyFont="1" applyBorder="1" applyAlignment="1">
      <alignment horizontal="left" vertical="center"/>
    </xf>
    <xf numFmtId="167" fontId="75" fillId="0" borderId="1" xfId="9" applyNumberFormat="1" applyFont="1" applyFill="1" applyBorder="1" applyAlignment="1">
      <alignment horizontal="center" vertical="center" wrapText="1"/>
    </xf>
    <xf numFmtId="167" fontId="75" fillId="0" borderId="1" xfId="9" applyNumberFormat="1" applyFont="1" applyBorder="1" applyAlignment="1">
      <alignment horizontal="center" vertical="center"/>
    </xf>
    <xf numFmtId="167" fontId="25" fillId="0" borderId="1" xfId="9" applyNumberFormat="1" applyFont="1" applyFill="1" applyBorder="1" applyAlignment="1">
      <alignment horizontal="center" vertical="center" wrapText="1"/>
    </xf>
    <xf numFmtId="167" fontId="25" fillId="0" borderId="1" xfId="9" applyNumberFormat="1" applyFont="1" applyBorder="1" applyAlignment="1">
      <alignment vertical="center"/>
    </xf>
    <xf numFmtId="0" fontId="25" fillId="0" borderId="1" xfId="0" applyFont="1" applyBorder="1" applyAlignment="1"/>
    <xf numFmtId="0" fontId="75" fillId="0" borderId="1" xfId="0" applyFont="1" applyBorder="1"/>
    <xf numFmtId="167" fontId="75" fillId="0" borderId="1" xfId="9" applyNumberFormat="1" applyFont="1" applyBorder="1" applyAlignment="1">
      <alignment vertical="center"/>
    </xf>
    <xf numFmtId="0" fontId="25" fillId="0" borderId="1" xfId="0" applyFont="1" applyBorder="1" applyAlignment="1">
      <alignment horizontal="left"/>
    </xf>
    <xf numFmtId="167" fontId="25" fillId="0" borderId="1" xfId="9" applyNumberFormat="1" applyFont="1" applyBorder="1" applyAlignment="1">
      <alignment horizontal="left" vertical="center"/>
    </xf>
    <xf numFmtId="167" fontId="25" fillId="0" borderId="0" xfId="9" applyNumberFormat="1" applyFont="1" applyAlignment="1">
      <alignment vertical="center"/>
    </xf>
    <xf numFmtId="0" fontId="25" fillId="0" borderId="0" xfId="0" applyFont="1" applyAlignment="1">
      <alignment horizontal="center" vertical="center"/>
    </xf>
    <xf numFmtId="167" fontId="25" fillId="0" borderId="0" xfId="9" applyNumberFormat="1" applyFont="1" applyBorder="1" applyAlignment="1">
      <alignment horizontal="center" vertical="center"/>
    </xf>
    <xf numFmtId="167" fontId="17" fillId="0" borderId="1" xfId="9" applyNumberFormat="1" applyFont="1" applyBorder="1" applyAlignment="1">
      <alignment horizontal="center" vertical="center" textRotation="90" wrapText="1"/>
    </xf>
    <xf numFmtId="0" fontId="27" fillId="0" borderId="1" xfId="0" applyFont="1" applyBorder="1" applyAlignment="1">
      <alignment vertical="center" wrapText="1"/>
    </xf>
    <xf numFmtId="0" fontId="27" fillId="0" borderId="1" xfId="0" applyFont="1" applyBorder="1" applyAlignment="1">
      <alignment horizontal="justify" vertical="center" wrapText="1"/>
    </xf>
    <xf numFmtId="166" fontId="27" fillId="0" borderId="1" xfId="9" applyNumberFormat="1" applyFont="1" applyBorder="1" applyAlignment="1">
      <alignment horizontal="center" vertical="center" wrapText="1"/>
    </xf>
    <xf numFmtId="167" fontId="27" fillId="0" borderId="1" xfId="9" applyNumberFormat="1" applyFont="1" applyBorder="1" applyAlignment="1">
      <alignment horizontal="center" vertical="center" wrapText="1"/>
    </xf>
    <xf numFmtId="167" fontId="27" fillId="0" borderId="1" xfId="9" applyNumberFormat="1" applyFont="1" applyBorder="1" applyAlignment="1">
      <alignment vertical="center" wrapText="1"/>
    </xf>
    <xf numFmtId="0" fontId="5" fillId="0" borderId="1" xfId="0" applyFont="1" applyBorder="1" applyAlignment="1">
      <alignment horizontal="justify" vertical="center" wrapText="1"/>
    </xf>
    <xf numFmtId="0" fontId="17" fillId="0" borderId="1" xfId="0" applyFont="1" applyBorder="1" applyAlignment="1">
      <alignment horizontal="justify" vertical="center" wrapText="1"/>
    </xf>
    <xf numFmtId="166" fontId="17" fillId="0" borderId="1" xfId="9" applyNumberFormat="1" applyFont="1" applyBorder="1" applyAlignment="1">
      <alignment horizontal="center" vertical="center"/>
    </xf>
    <xf numFmtId="167" fontId="17" fillId="0" borderId="1" xfId="9" applyNumberFormat="1" applyFont="1" applyBorder="1"/>
    <xf numFmtId="0" fontId="75" fillId="0" borderId="1" xfId="0" applyFont="1" applyFill="1" applyBorder="1" applyAlignment="1">
      <alignment horizontal="center" vertical="center"/>
    </xf>
    <xf numFmtId="0" fontId="75" fillId="0" borderId="1" xfId="0" applyFont="1" applyFill="1" applyBorder="1" applyAlignment="1">
      <alignment horizontal="center" vertical="center" wrapText="1"/>
    </xf>
    <xf numFmtId="167" fontId="75" fillId="0" borderId="1" xfId="9" applyNumberFormat="1" applyFont="1" applyBorder="1" applyAlignment="1">
      <alignment horizontal="center" vertical="center" wrapText="1"/>
    </xf>
    <xf numFmtId="172" fontId="25" fillId="0" borderId="1" xfId="0" applyNumberFormat="1" applyFont="1" applyBorder="1" applyAlignment="1">
      <alignment vertical="center"/>
    </xf>
    <xf numFmtId="172" fontId="75" fillId="0" borderId="1" xfId="0" applyNumberFormat="1" applyFont="1" applyBorder="1" applyAlignment="1">
      <alignment vertical="center"/>
    </xf>
    <xf numFmtId="0" fontId="27" fillId="0" borderId="1" xfId="0" applyFont="1" applyBorder="1" applyAlignment="1">
      <alignment horizontal="left" vertical="center" wrapText="1"/>
    </xf>
    <xf numFmtId="0" fontId="76" fillId="0" borderId="1" xfId="0" applyFont="1" applyBorder="1" applyAlignment="1">
      <alignment horizontal="center" vertical="center" wrapText="1"/>
    </xf>
    <xf numFmtId="0" fontId="75" fillId="0" borderId="1" xfId="0" applyFont="1" applyBorder="1" applyAlignment="1">
      <alignment horizontal="center" vertical="center" wrapText="1"/>
    </xf>
    <xf numFmtId="0" fontId="68" fillId="0" borderId="1" xfId="0" applyFont="1" applyBorder="1" applyAlignment="1">
      <alignment horizontal="center" vertical="center" wrapText="1"/>
    </xf>
    <xf numFmtId="167" fontId="25" fillId="0" borderId="1" xfId="9" applyNumberFormat="1" applyFont="1" applyBorder="1" applyAlignment="1">
      <alignment horizontal="left"/>
    </xf>
    <xf numFmtId="0" fontId="75" fillId="0" borderId="1" xfId="0" applyFont="1" applyFill="1" applyBorder="1" applyAlignment="1">
      <alignment horizontal="left"/>
    </xf>
    <xf numFmtId="167" fontId="75" fillId="0" borderId="1" xfId="9" applyNumberFormat="1" applyFont="1" applyFill="1" applyBorder="1" applyAlignment="1">
      <alignment horizontal="left"/>
    </xf>
    <xf numFmtId="0" fontId="75" fillId="0" borderId="0" xfId="0" applyFont="1" applyBorder="1" applyAlignment="1">
      <alignment vertical="center" wrapText="1"/>
    </xf>
    <xf numFmtId="167" fontId="0" fillId="0" borderId="0" xfId="9" applyNumberFormat="1" applyFont="1"/>
    <xf numFmtId="43" fontId="0" fillId="0" borderId="0" xfId="9" applyFont="1"/>
    <xf numFmtId="0" fontId="76" fillId="0" borderId="9" xfId="0" applyFont="1" applyBorder="1" applyAlignment="1">
      <alignment horizontal="center" vertical="center" wrapText="1"/>
    </xf>
    <xf numFmtId="167" fontId="76" fillId="0" borderId="9" xfId="9" applyNumberFormat="1" applyFont="1" applyBorder="1" applyAlignment="1">
      <alignment horizontal="center" vertical="center" wrapText="1"/>
    </xf>
    <xf numFmtId="167" fontId="25" fillId="10" borderId="1" xfId="9" applyNumberFormat="1" applyFont="1" applyFill="1" applyBorder="1" applyAlignment="1">
      <alignment horizontal="center" vertical="center" wrapText="1"/>
    </xf>
    <xf numFmtId="167" fontId="25" fillId="10" borderId="3" xfId="9" applyNumberFormat="1" applyFont="1" applyFill="1" applyBorder="1" applyAlignment="1">
      <alignment horizontal="center" vertical="center" wrapText="1"/>
    </xf>
    <xf numFmtId="0" fontId="0" fillId="0" borderId="0" xfId="0" applyBorder="1"/>
    <xf numFmtId="167" fontId="25" fillId="0" borderId="1" xfId="9" applyNumberFormat="1" applyFont="1" applyBorder="1" applyAlignment="1">
      <alignment horizontal="center" vertical="center" wrapText="1"/>
    </xf>
    <xf numFmtId="0" fontId="77" fillId="0" borderId="0" xfId="0" applyFont="1" applyAlignment="1">
      <alignment vertical="center"/>
    </xf>
    <xf numFmtId="0" fontId="25" fillId="11" borderId="1" xfId="0" applyFont="1" applyFill="1" applyBorder="1" applyAlignment="1">
      <alignment horizontal="center" vertical="center" wrapText="1"/>
    </xf>
    <xf numFmtId="0" fontId="25" fillId="11" borderId="1" xfId="0" applyFont="1" applyFill="1" applyBorder="1" applyAlignment="1">
      <alignment horizontal="left" vertical="center" wrapText="1"/>
    </xf>
    <xf numFmtId="167" fontId="25" fillId="11" borderId="1" xfId="9" applyNumberFormat="1" applyFont="1" applyFill="1" applyBorder="1" applyAlignment="1">
      <alignment horizontal="center" vertical="center" wrapText="1"/>
    </xf>
    <xf numFmtId="43" fontId="25" fillId="0" borderId="0" xfId="9" applyFont="1" applyAlignment="1">
      <alignment wrapText="1"/>
    </xf>
    <xf numFmtId="0" fontId="78" fillId="3" borderId="2" xfId="0" applyFont="1" applyFill="1" applyBorder="1" applyAlignment="1">
      <alignment horizontal="left" vertical="center" wrapText="1" indent="2"/>
    </xf>
    <xf numFmtId="167" fontId="25" fillId="0" borderId="2" xfId="9" applyNumberFormat="1" applyFont="1" applyBorder="1" applyAlignment="1">
      <alignment horizontal="center" vertical="center"/>
    </xf>
    <xf numFmtId="167" fontId="25" fillId="0" borderId="1" xfId="9" applyNumberFormat="1" applyFont="1" applyBorder="1" applyAlignment="1">
      <alignment vertical="center" wrapText="1"/>
    </xf>
    <xf numFmtId="0" fontId="25" fillId="11" borderId="1" xfId="0" applyFont="1" applyFill="1" applyBorder="1" applyAlignment="1">
      <alignment wrapText="1"/>
    </xf>
    <xf numFmtId="0" fontId="25" fillId="11" borderId="1" xfId="0" applyFont="1" applyFill="1" applyBorder="1" applyAlignment="1">
      <alignment horizontal="center" wrapText="1"/>
    </xf>
    <xf numFmtId="0" fontId="79" fillId="0" borderId="1" xfId="0" applyFont="1" applyBorder="1" applyAlignment="1">
      <alignment horizontal="left" vertical="center" wrapText="1" indent="2"/>
    </xf>
    <xf numFmtId="167" fontId="25" fillId="0" borderId="7" xfId="9" applyNumberFormat="1" applyFont="1" applyBorder="1" applyAlignment="1">
      <alignment horizontal="center" vertical="center" wrapText="1"/>
    </xf>
    <xf numFmtId="0" fontId="25" fillId="11" borderId="0" xfId="0" applyFont="1" applyFill="1" applyAlignment="1">
      <alignment wrapText="1"/>
    </xf>
    <xf numFmtId="0" fontId="25" fillId="11" borderId="0" xfId="0" applyFont="1" applyFill="1" applyAlignment="1">
      <alignment horizontal="center" wrapText="1"/>
    </xf>
    <xf numFmtId="167" fontId="25" fillId="0" borderId="0" xfId="9" applyNumberFormat="1" applyFont="1" applyAlignment="1">
      <alignment horizontal="center"/>
    </xf>
    <xf numFmtId="0" fontId="75" fillId="0" borderId="0" xfId="0" applyFont="1" applyAlignment="1">
      <alignment horizontal="left" vertical="center" indent="4"/>
    </xf>
    <xf numFmtId="0" fontId="24" fillId="0" borderId="0" xfId="0" applyFont="1"/>
    <xf numFmtId="167" fontId="25" fillId="0" borderId="1" xfId="9" applyNumberFormat="1" applyFont="1" applyBorder="1" applyAlignment="1">
      <alignment horizontal="right" vertical="center" wrapText="1"/>
    </xf>
    <xf numFmtId="0" fontId="75" fillId="0" borderId="0" xfId="0" applyFont="1" applyAlignment="1">
      <alignment vertical="center"/>
    </xf>
    <xf numFmtId="0" fontId="75" fillId="0" borderId="0" xfId="0" applyFont="1" applyAlignment="1">
      <alignment horizontal="left" vertical="center" indent="2"/>
    </xf>
    <xf numFmtId="0" fontId="75" fillId="2" borderId="0" xfId="0" applyFont="1" applyFill="1" applyAlignment="1">
      <alignment horizontal="left" vertical="center" indent="4"/>
    </xf>
    <xf numFmtId="43" fontId="75" fillId="0" borderId="0" xfId="9" applyFont="1" applyFill="1" applyBorder="1" applyAlignment="1">
      <alignment vertical="center"/>
    </xf>
    <xf numFmtId="0" fontId="23" fillId="0" borderId="0" xfId="0" applyFont="1" applyAlignment="1">
      <alignment horizontal="right" vertical="center"/>
    </xf>
    <xf numFmtId="0" fontId="76" fillId="0" borderId="0" xfId="0" applyFont="1" applyAlignment="1">
      <alignment horizontal="center" vertical="center"/>
    </xf>
    <xf numFmtId="0" fontId="63" fillId="0" borderId="0" xfId="0" applyFont="1"/>
    <xf numFmtId="0" fontId="24" fillId="0" borderId="1" xfId="0" applyFont="1" applyBorder="1" applyAlignment="1">
      <alignment horizontal="left" vertical="center" wrapText="1"/>
    </xf>
    <xf numFmtId="0" fontId="0" fillId="0" borderId="0" xfId="0" applyAlignment="1"/>
    <xf numFmtId="0" fontId="24" fillId="0" borderId="1" xfId="0" applyFont="1" applyBorder="1" applyAlignment="1">
      <alignment horizontal="left" wrapText="1"/>
    </xf>
    <xf numFmtId="0" fontId="63" fillId="0" borderId="0" xfId="0" applyFont="1" applyAlignment="1"/>
    <xf numFmtId="0" fontId="24" fillId="2" borderId="1" xfId="0" applyFont="1" applyFill="1" applyBorder="1" applyAlignment="1">
      <alignment horizontal="left" vertical="center" wrapText="1"/>
    </xf>
    <xf numFmtId="0" fontId="24" fillId="0" borderId="1" xfId="0" applyFont="1" applyBorder="1" applyAlignment="1">
      <alignment horizontal="left" vertical="center"/>
    </xf>
    <xf numFmtId="0" fontId="75" fillId="0" borderId="0" xfId="0" applyFont="1" applyBorder="1" applyAlignment="1">
      <alignment horizontal="center" vertical="center" wrapText="1"/>
    </xf>
    <xf numFmtId="167" fontId="75" fillId="0" borderId="0" xfId="9" applyNumberFormat="1" applyFont="1" applyBorder="1" applyAlignment="1">
      <alignment horizontal="center" vertical="center" wrapText="1"/>
    </xf>
    <xf numFmtId="0" fontId="0" fillId="0" borderId="0" xfId="0" applyAlignment="1">
      <alignment horizontal="center" wrapText="1"/>
    </xf>
    <xf numFmtId="0" fontId="81" fillId="3" borderId="2" xfId="0" applyFont="1" applyFill="1" applyBorder="1" applyAlignment="1">
      <alignment horizontal="left" vertical="center" wrapText="1" indent="2"/>
    </xf>
    <xf numFmtId="0" fontId="25" fillId="0" borderId="7" xfId="9" applyNumberFormat="1" applyFont="1" applyBorder="1" applyAlignment="1">
      <alignment horizontal="center" vertical="center" wrapText="1"/>
    </xf>
    <xf numFmtId="167" fontId="63" fillId="0" borderId="0" xfId="9" applyNumberFormat="1" applyFont="1"/>
    <xf numFmtId="0" fontId="77" fillId="0" borderId="0" xfId="0" applyFont="1" applyBorder="1" applyAlignment="1">
      <alignment vertical="center"/>
    </xf>
    <xf numFmtId="167" fontId="0" fillId="0" borderId="0" xfId="9" applyNumberFormat="1" applyFont="1" applyBorder="1"/>
    <xf numFmtId="167" fontId="25" fillId="0" borderId="0" xfId="9" applyNumberFormat="1" applyFont="1" applyBorder="1" applyAlignment="1">
      <alignment horizontal="center" vertical="center" wrapText="1"/>
    </xf>
    <xf numFmtId="0" fontId="23" fillId="0" borderId="0" xfId="0" applyFont="1" applyBorder="1" applyAlignment="1">
      <alignment vertical="center"/>
    </xf>
    <xf numFmtId="0" fontId="23" fillId="2" borderId="0" xfId="0" applyFont="1" applyFill="1" applyBorder="1" applyAlignment="1">
      <alignment horizontal="center" vertical="center" wrapText="1"/>
    </xf>
    <xf numFmtId="167" fontId="23" fillId="2" borderId="0" xfId="9" applyNumberFormat="1" applyFont="1" applyFill="1" applyBorder="1" applyAlignment="1">
      <alignment horizontal="center" vertical="center" wrapText="1"/>
    </xf>
    <xf numFmtId="0" fontId="75" fillId="13" borderId="1" xfId="0" applyFont="1" applyFill="1" applyBorder="1" applyAlignment="1">
      <alignment horizontal="center" vertical="center" wrapText="1"/>
    </xf>
    <xf numFmtId="167" fontId="75" fillId="13" borderId="1" xfId="9" applyNumberFormat="1" applyFont="1" applyFill="1" applyBorder="1" applyAlignment="1">
      <alignment horizontal="center" vertical="center" wrapText="1"/>
    </xf>
    <xf numFmtId="167" fontId="20" fillId="0" borderId="1" xfId="9" applyNumberFormat="1" applyFont="1" applyBorder="1" applyAlignment="1">
      <alignment horizontal="right" vertical="center" wrapText="1"/>
    </xf>
    <xf numFmtId="0" fontId="75" fillId="0" borderId="1" xfId="0" applyFont="1" applyBorder="1" applyAlignment="1">
      <alignment horizontal="left" vertical="center" wrapText="1"/>
    </xf>
    <xf numFmtId="167" fontId="75" fillId="0" borderId="1" xfId="9" applyNumberFormat="1" applyFont="1" applyBorder="1" applyAlignment="1">
      <alignment horizontal="right" vertical="center" wrapText="1"/>
    </xf>
    <xf numFmtId="0" fontId="75" fillId="0" borderId="0" xfId="0" applyFont="1" applyFill="1" applyBorder="1" applyAlignment="1">
      <alignment vertical="center" wrapText="1"/>
    </xf>
    <xf numFmtId="0" fontId="25" fillId="2" borderId="0" xfId="0" applyFont="1" applyFill="1" applyBorder="1" applyAlignment="1">
      <alignment horizontal="center" vertical="center" wrapText="1"/>
    </xf>
    <xf numFmtId="167" fontId="25" fillId="2" borderId="0" xfId="9" applyNumberFormat="1" applyFont="1" applyFill="1" applyBorder="1" applyAlignment="1">
      <alignment horizontal="right" vertical="center" wrapText="1"/>
    </xf>
    <xf numFmtId="0" fontId="24" fillId="2" borderId="0" xfId="0" applyFont="1" applyFill="1" applyBorder="1" applyAlignment="1">
      <alignment horizontal="center" vertical="center" wrapText="1"/>
    </xf>
    <xf numFmtId="167" fontId="24" fillId="2" borderId="0" xfId="9" applyNumberFormat="1" applyFont="1" applyFill="1" applyBorder="1" applyAlignment="1">
      <alignment horizontal="center" vertical="center" wrapText="1"/>
    </xf>
    <xf numFmtId="0" fontId="75" fillId="2" borderId="1" xfId="0" applyFont="1" applyFill="1" applyBorder="1" applyAlignment="1">
      <alignment horizontal="center" vertical="center" wrapText="1"/>
    </xf>
    <xf numFmtId="0" fontId="68" fillId="2" borderId="1" xfId="0" applyFont="1" applyFill="1" applyBorder="1" applyAlignment="1">
      <alignment horizontal="center" vertical="center" wrapText="1"/>
    </xf>
    <xf numFmtId="167" fontId="68" fillId="2" borderId="1" xfId="9" applyNumberFormat="1" applyFont="1" applyFill="1" applyBorder="1" applyAlignment="1">
      <alignment horizontal="center" vertical="center" wrapText="1"/>
    </xf>
    <xf numFmtId="167" fontId="25" fillId="2" borderId="1" xfId="9" applyNumberFormat="1" applyFont="1" applyFill="1" applyBorder="1" applyAlignment="1">
      <alignment horizontal="right" vertical="center" wrapText="1"/>
    </xf>
    <xf numFmtId="167" fontId="25" fillId="0" borderId="1" xfId="9" applyNumberFormat="1" applyFont="1" applyBorder="1"/>
    <xf numFmtId="167" fontId="75" fillId="2" borderId="1" xfId="9" applyNumberFormat="1" applyFont="1" applyFill="1" applyBorder="1" applyAlignment="1">
      <alignment horizontal="right" vertical="center" wrapText="1"/>
    </xf>
    <xf numFmtId="167" fontId="25" fillId="2" borderId="0" xfId="9" applyNumberFormat="1" applyFont="1" applyFill="1" applyBorder="1" applyAlignment="1">
      <alignment horizontal="center" vertical="center" wrapText="1"/>
    </xf>
    <xf numFmtId="0" fontId="82" fillId="0" borderId="0" xfId="0" applyFont="1" applyAlignment="1">
      <alignment vertical="center"/>
    </xf>
    <xf numFmtId="0" fontId="76" fillId="2" borderId="0" xfId="0" applyFont="1" applyFill="1" applyBorder="1" applyAlignment="1">
      <alignment horizontal="center" vertical="center" wrapText="1"/>
    </xf>
    <xf numFmtId="0" fontId="23" fillId="0" borderId="0" xfId="0" applyFont="1" applyBorder="1" applyAlignment="1">
      <alignment vertical="center" wrapText="1"/>
    </xf>
    <xf numFmtId="0" fontId="23" fillId="0" borderId="0" xfId="0" applyFont="1" applyBorder="1" applyAlignment="1">
      <alignment horizontal="right" vertical="center" wrapText="1"/>
    </xf>
    <xf numFmtId="3" fontId="70" fillId="0" borderId="0" xfId="0" applyNumberFormat="1" applyFont="1" applyBorder="1" applyAlignment="1">
      <alignment horizontal="right" vertical="center" wrapText="1"/>
    </xf>
    <xf numFmtId="3" fontId="23" fillId="0" borderId="0" xfId="0" applyNumberFormat="1" applyFont="1" applyBorder="1" applyAlignment="1">
      <alignment horizontal="right" vertical="center" wrapText="1"/>
    </xf>
    <xf numFmtId="0" fontId="23" fillId="0" borderId="0" xfId="0" applyFont="1" applyBorder="1" applyAlignment="1">
      <alignment horizontal="right" vertical="top" wrapText="1"/>
    </xf>
    <xf numFmtId="3" fontId="23" fillId="0" borderId="0" xfId="0" applyNumberFormat="1" applyFont="1" applyBorder="1" applyAlignment="1">
      <alignment horizontal="right" vertical="top" wrapText="1"/>
    </xf>
    <xf numFmtId="0" fontId="0" fillId="0" borderId="0" xfId="0" applyBorder="1" applyAlignment="1">
      <alignment vertical="top"/>
    </xf>
    <xf numFmtId="0" fontId="76" fillId="0" borderId="0" xfId="0" applyFont="1" applyBorder="1" applyAlignment="1">
      <alignment horizontal="right" vertical="center" wrapText="1"/>
    </xf>
    <xf numFmtId="3" fontId="76" fillId="0" borderId="0" xfId="0" applyNumberFormat="1" applyFont="1" applyBorder="1" applyAlignment="1">
      <alignment horizontal="right" vertical="center" wrapText="1"/>
    </xf>
    <xf numFmtId="0" fontId="76" fillId="0" borderId="0" xfId="0" applyFont="1" applyBorder="1" applyAlignment="1">
      <alignment vertical="center"/>
    </xf>
    <xf numFmtId="0" fontId="23" fillId="2" borderId="9" xfId="0" applyFont="1" applyFill="1" applyBorder="1" applyAlignment="1">
      <alignment horizontal="center" vertical="center" wrapText="1"/>
    </xf>
    <xf numFmtId="167" fontId="23" fillId="2" borderId="9" xfId="9" applyNumberFormat="1" applyFont="1" applyFill="1" applyBorder="1" applyAlignment="1">
      <alignment horizontal="center" vertical="center" wrapText="1"/>
    </xf>
    <xf numFmtId="0" fontId="75" fillId="0" borderId="0" xfId="0" applyFont="1" applyBorder="1" applyAlignment="1">
      <alignment horizontal="center"/>
    </xf>
    <xf numFmtId="0" fontId="75" fillId="2" borderId="0" xfId="0" applyFont="1" applyFill="1" applyBorder="1" applyAlignment="1">
      <alignment horizontal="center" vertical="center" wrapText="1"/>
    </xf>
    <xf numFmtId="0" fontId="0" fillId="2" borderId="0" xfId="0" applyFill="1" applyBorder="1"/>
    <xf numFmtId="0" fontId="25" fillId="0" borderId="0" xfId="0" applyFont="1" applyBorder="1" applyAlignment="1">
      <alignment horizontal="right" vertical="center" wrapText="1"/>
    </xf>
    <xf numFmtId="3" fontId="25" fillId="0" borderId="0" xfId="0" applyNumberFormat="1" applyFont="1" applyBorder="1" applyAlignment="1">
      <alignment horizontal="right" vertical="center" wrapText="1"/>
    </xf>
    <xf numFmtId="0" fontId="75" fillId="0" borderId="0" xfId="0" applyFont="1" applyBorder="1" applyAlignment="1">
      <alignment horizontal="right" vertical="center" wrapText="1"/>
    </xf>
    <xf numFmtId="3" fontId="75" fillId="0" borderId="0" xfId="0" applyNumberFormat="1" applyFont="1" applyBorder="1" applyAlignment="1">
      <alignment horizontal="right" vertical="center" wrapText="1"/>
    </xf>
    <xf numFmtId="0" fontId="25" fillId="2" borderId="0" xfId="0" applyFont="1" applyFill="1" applyBorder="1" applyAlignment="1">
      <alignment vertical="center" wrapText="1"/>
    </xf>
    <xf numFmtId="167" fontId="24" fillId="2" borderId="0" xfId="9" applyNumberFormat="1" applyFont="1" applyFill="1" applyBorder="1" applyAlignment="1">
      <alignment horizontal="right" vertical="center" wrapText="1"/>
    </xf>
    <xf numFmtId="0" fontId="66" fillId="10" borderId="1" xfId="0" applyFont="1" applyFill="1" applyBorder="1" applyAlignment="1">
      <alignment horizontal="center"/>
    </xf>
    <xf numFmtId="49" fontId="66" fillId="10" borderId="1" xfId="0" applyNumberFormat="1" applyFont="1" applyFill="1" applyBorder="1" applyAlignment="1">
      <alignment horizontal="center"/>
    </xf>
    <xf numFmtId="0" fontId="4" fillId="0" borderId="0" xfId="0" applyFont="1" applyAlignment="1"/>
    <xf numFmtId="164" fontId="4" fillId="0" borderId="1" xfId="0" applyNumberFormat="1" applyFont="1" applyBorder="1" applyAlignment="1"/>
    <xf numFmtId="0" fontId="4" fillId="0" borderId="1" xfId="0" applyFont="1" applyBorder="1" applyAlignment="1"/>
    <xf numFmtId="0" fontId="4" fillId="0" borderId="1" xfId="0" applyFont="1" applyBorder="1"/>
    <xf numFmtId="164" fontId="64" fillId="0" borderId="1" xfId="0" applyNumberFormat="1" applyFont="1" applyBorder="1" applyAlignment="1">
      <alignment horizontal="right"/>
    </xf>
    <xf numFmtId="164" fontId="4" fillId="0" borderId="1" xfId="0" applyNumberFormat="1" applyFont="1" applyBorder="1" applyAlignment="1">
      <alignment horizontal="right"/>
    </xf>
    <xf numFmtId="164" fontId="4" fillId="0" borderId="0" xfId="0" applyNumberFormat="1" applyFont="1" applyAlignment="1">
      <alignment horizontal="right"/>
    </xf>
    <xf numFmtId="49" fontId="84" fillId="0" borderId="0" xfId="0" applyNumberFormat="1" applyFont="1"/>
    <xf numFmtId="0" fontId="84" fillId="0" borderId="0" xfId="0" applyFont="1"/>
    <xf numFmtId="164" fontId="84" fillId="0" borderId="0" xfId="0" applyNumberFormat="1" applyFont="1" applyAlignment="1">
      <alignment horizontal="right"/>
    </xf>
    <xf numFmtId="0" fontId="84" fillId="14" borderId="1" xfId="0" applyFont="1" applyFill="1" applyBorder="1"/>
    <xf numFmtId="49" fontId="84" fillId="14" borderId="1" xfId="0" applyNumberFormat="1" applyFont="1" applyFill="1" applyBorder="1" applyAlignment="1">
      <alignment horizontal="right"/>
    </xf>
    <xf numFmtId="0" fontId="84" fillId="14" borderId="1" xfId="0" applyFont="1" applyFill="1" applyBorder="1" applyAlignment="1"/>
    <xf numFmtId="164" fontId="84" fillId="14" borderId="1" xfId="0" quotePrefix="1" applyNumberFormat="1" applyFont="1" applyFill="1" applyBorder="1" applyAlignment="1"/>
    <xf numFmtId="0" fontId="84" fillId="0" borderId="0" xfId="0" applyFont="1" applyAlignment="1"/>
    <xf numFmtId="49" fontId="84" fillId="14" borderId="1" xfId="0" applyNumberFormat="1" applyFont="1" applyFill="1" applyBorder="1" applyAlignment="1"/>
    <xf numFmtId="0" fontId="0" fillId="14" borderId="1" xfId="0" applyFill="1" applyBorder="1"/>
    <xf numFmtId="0" fontId="84" fillId="0" borderId="1" xfId="0" applyFont="1" applyBorder="1" applyAlignment="1"/>
    <xf numFmtId="164" fontId="84" fillId="0" borderId="1" xfId="0" applyNumberFormat="1" applyFont="1" applyBorder="1" applyAlignment="1"/>
    <xf numFmtId="0" fontId="84" fillId="0" borderId="1" xfId="0" applyFont="1" applyBorder="1"/>
    <xf numFmtId="164" fontId="84" fillId="0" borderId="1" xfId="0" applyNumberFormat="1" applyFont="1" applyBorder="1" applyAlignment="1">
      <alignment horizontal="right"/>
    </xf>
    <xf numFmtId="0" fontId="39" fillId="0" borderId="0" xfId="0" applyFont="1" applyFill="1" applyAlignment="1">
      <alignment horizontal="left"/>
    </xf>
    <xf numFmtId="3" fontId="39" fillId="0" borderId="0" xfId="0" applyNumberFormat="1" applyFont="1" applyFill="1" applyAlignment="1">
      <alignment horizontal="left"/>
    </xf>
    <xf numFmtId="0" fontId="41" fillId="0" borderId="0" xfId="0" applyFont="1" applyFill="1" applyAlignment="1">
      <alignment horizontal="left"/>
    </xf>
    <xf numFmtId="3" fontId="41" fillId="0" borderId="0" xfId="0" applyNumberFormat="1" applyFont="1" applyFill="1" applyAlignment="1">
      <alignment horizontal="left"/>
    </xf>
    <xf numFmtId="166" fontId="41" fillId="0" borderId="0" xfId="9" applyNumberFormat="1" applyFont="1" applyFill="1" applyAlignment="1">
      <alignment horizontal="left"/>
    </xf>
    <xf numFmtId="0" fontId="39" fillId="0" borderId="0" xfId="0" applyFont="1" applyFill="1" applyBorder="1" applyAlignment="1">
      <alignment horizontal="left" vertical="center"/>
    </xf>
    <xf numFmtId="0" fontId="39" fillId="0" borderId="0" xfId="0" applyFont="1" applyFill="1" applyAlignment="1">
      <alignment horizontal="left" vertical="center"/>
    </xf>
    <xf numFmtId="0" fontId="27" fillId="0" borderId="4" xfId="0" applyFont="1" applyFill="1" applyBorder="1" applyAlignment="1">
      <alignment horizontal="left"/>
    </xf>
    <xf numFmtId="3" fontId="9" fillId="0" borderId="1" xfId="0" applyNumberFormat="1" applyFont="1" applyFill="1" applyBorder="1" applyAlignment="1">
      <alignment vertical="center" wrapText="1"/>
    </xf>
    <xf numFmtId="0" fontId="39" fillId="0" borderId="0" xfId="0" applyFont="1" applyFill="1" applyBorder="1" applyAlignment="1">
      <alignment horizontal="left"/>
    </xf>
    <xf numFmtId="0" fontId="27" fillId="0" borderId="0" xfId="0" applyFont="1" applyFill="1" applyAlignment="1">
      <alignment horizontal="left" vertical="center"/>
    </xf>
    <xf numFmtId="0" fontId="85" fillId="0" borderId="1" xfId="0" applyFont="1" applyFill="1" applyBorder="1" applyAlignment="1">
      <alignment horizontal="center" vertical="center"/>
    </xf>
    <xf numFmtId="3" fontId="17" fillId="0" borderId="1" xfId="0" applyNumberFormat="1" applyFont="1" applyFill="1" applyBorder="1" applyAlignment="1">
      <alignment horizontal="right" vertical="center"/>
    </xf>
    <xf numFmtId="3" fontId="17" fillId="11" borderId="1" xfId="0" applyNumberFormat="1" applyFont="1" applyFill="1" applyBorder="1" applyAlignment="1">
      <alignment horizontal="right" vertical="center"/>
    </xf>
    <xf numFmtId="3" fontId="39" fillId="0" borderId="0" xfId="0" applyNumberFormat="1" applyFont="1" applyFill="1" applyAlignment="1">
      <alignment horizontal="left" vertical="center"/>
    </xf>
    <xf numFmtId="0" fontId="39" fillId="0" borderId="0" xfId="0" applyFont="1" applyFill="1" applyAlignment="1">
      <alignment horizontal="center"/>
    </xf>
    <xf numFmtId="1" fontId="39" fillId="0" borderId="0" xfId="0" applyNumberFormat="1" applyFont="1" applyFill="1" applyAlignment="1">
      <alignment horizontal="right"/>
    </xf>
    <xf numFmtId="0" fontId="25" fillId="0" borderId="0" xfId="0" applyFont="1" applyFill="1" applyBorder="1" applyAlignment="1">
      <alignment horizontal="center"/>
    </xf>
    <xf numFmtId="0" fontId="75" fillId="0" borderId="0" xfId="0" applyFont="1" applyFill="1" applyBorder="1" applyAlignment="1"/>
    <xf numFmtId="0" fontId="19" fillId="0" borderId="1" xfId="0" applyFont="1" applyFill="1" applyBorder="1" applyAlignment="1">
      <alignment horizontal="left" vertical="center" wrapText="1"/>
    </xf>
    <xf numFmtId="0" fontId="75" fillId="0" borderId="1" xfId="0" applyFont="1" applyFill="1" applyBorder="1" applyAlignment="1">
      <alignment horizontal="left" vertical="center" wrapText="1"/>
    </xf>
    <xf numFmtId="0" fontId="75" fillId="0" borderId="1" xfId="0" applyFont="1" applyFill="1" applyBorder="1" applyAlignment="1">
      <alignment horizontal="left" vertical="center"/>
    </xf>
    <xf numFmtId="1" fontId="19" fillId="0" borderId="1" xfId="0" applyNumberFormat="1" applyFont="1" applyFill="1" applyBorder="1" applyAlignment="1">
      <alignment horizontal="left" vertical="center"/>
    </xf>
    <xf numFmtId="166" fontId="25" fillId="0" borderId="1" xfId="9" applyNumberFormat="1" applyFont="1" applyBorder="1" applyAlignment="1">
      <alignment horizontal="left"/>
    </xf>
    <xf numFmtId="0" fontId="25" fillId="0" borderId="1" xfId="0" applyFont="1" applyFill="1" applyBorder="1" applyAlignment="1">
      <alignment horizontal="left"/>
    </xf>
    <xf numFmtId="0" fontId="25" fillId="0" borderId="3" xfId="0" applyFont="1" applyFill="1" applyBorder="1" applyAlignment="1">
      <alignment horizontal="left" vertical="center" wrapText="1"/>
    </xf>
    <xf numFmtId="0" fontId="25" fillId="0" borderId="1" xfId="0" applyFont="1" applyFill="1" applyBorder="1" applyAlignment="1">
      <alignment horizontal="left" vertical="center"/>
    </xf>
    <xf numFmtId="166" fontId="25" fillId="0" borderId="4" xfId="9" applyNumberFormat="1" applyFont="1" applyFill="1" applyBorder="1" applyAlignment="1">
      <alignment horizontal="left" vertical="center"/>
    </xf>
    <xf numFmtId="166" fontId="25" fillId="0" borderId="1" xfId="9" applyNumberFormat="1" applyFont="1" applyFill="1" applyBorder="1" applyAlignment="1">
      <alignment horizontal="left" vertical="center"/>
    </xf>
    <xf numFmtId="166" fontId="25" fillId="0" borderId="1" xfId="9" applyNumberFormat="1" applyFont="1" applyBorder="1" applyAlignment="1">
      <alignment horizontal="left" vertical="center"/>
    </xf>
    <xf numFmtId="166" fontId="75" fillId="0" borderId="1" xfId="9" applyNumberFormat="1" applyFont="1" applyBorder="1" applyAlignment="1">
      <alignment horizontal="left"/>
    </xf>
    <xf numFmtId="0" fontId="86" fillId="0" borderId="0" xfId="0" applyFont="1"/>
    <xf numFmtId="0" fontId="25" fillId="0" borderId="1" xfId="0" applyFont="1" applyBorder="1" applyAlignment="1">
      <alignment horizontal="left" wrapText="1"/>
    </xf>
    <xf numFmtId="0" fontId="27" fillId="0" borderId="1" xfId="0" applyFont="1" applyBorder="1" applyAlignment="1">
      <alignment vertical="top" wrapText="1"/>
    </xf>
    <xf numFmtId="166" fontId="75" fillId="0" borderId="1" xfId="0" applyNumberFormat="1" applyFont="1" applyBorder="1" applyAlignment="1">
      <alignment horizontal="left" vertical="center"/>
    </xf>
    <xf numFmtId="0" fontId="25" fillId="0" borderId="0" xfId="0" applyFont="1" applyFill="1" applyAlignment="1">
      <alignment horizontal="left"/>
    </xf>
    <xf numFmtId="0" fontId="25" fillId="0" borderId="0" xfId="0" applyFont="1" applyFill="1" applyAlignment="1">
      <alignment horizontal="center"/>
    </xf>
    <xf numFmtId="0" fontId="75" fillId="0" borderId="0" xfId="0" applyFont="1" applyFill="1" applyAlignment="1">
      <alignment horizontal="left"/>
    </xf>
    <xf numFmtId="0" fontId="25" fillId="0" borderId="0" xfId="0" applyFont="1" applyFill="1" applyAlignment="1"/>
    <xf numFmtId="0" fontId="24" fillId="0" borderId="1" xfId="0" applyFont="1" applyBorder="1" applyAlignment="1">
      <alignment vertical="center" wrapText="1"/>
    </xf>
    <xf numFmtId="0" fontId="87" fillId="0" borderId="1" xfId="0" applyFont="1" applyBorder="1" applyAlignment="1">
      <alignment vertical="center" wrapText="1"/>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horizontal="center" vertical="center"/>
    </xf>
    <xf numFmtId="0" fontId="76" fillId="0" borderId="1" xfId="0" applyFont="1" applyFill="1" applyBorder="1" applyAlignment="1">
      <alignment horizontal="left" vertical="center"/>
    </xf>
    <xf numFmtId="0" fontId="5" fillId="0" borderId="1" xfId="0" applyFont="1" applyBorder="1" applyAlignment="1">
      <alignment horizontal="center" vertical="center" wrapText="1"/>
    </xf>
    <xf numFmtId="164" fontId="45" fillId="2" borderId="1" xfId="0" applyNumberFormat="1" applyFont="1" applyFill="1" applyBorder="1"/>
    <xf numFmtId="3" fontId="45" fillId="2" borderId="1" xfId="0" applyNumberFormat="1" applyFont="1" applyFill="1" applyBorder="1"/>
    <xf numFmtId="0" fontId="3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8" fillId="0" borderId="0" xfId="0" applyFont="1" applyAlignment="1">
      <alignment horizontal="center"/>
    </xf>
    <xf numFmtId="0" fontId="5" fillId="3" borderId="0" xfId="0" applyFont="1" applyFill="1" applyAlignment="1">
      <alignment vertical="center" wrapText="1"/>
    </xf>
    <xf numFmtId="0" fontId="10" fillId="4" borderId="0" xfId="5" applyFont="1" applyFill="1" applyBorder="1" applyAlignment="1">
      <alignment wrapText="1"/>
    </xf>
    <xf numFmtId="0" fontId="18" fillId="0" borderId="0" xfId="0" applyFont="1" applyAlignment="1">
      <alignment wrapText="1"/>
    </xf>
    <xf numFmtId="0" fontId="10" fillId="0" borderId="0" xfId="5" applyFont="1" applyAlignment="1">
      <alignment wrapText="1"/>
    </xf>
    <xf numFmtId="0" fontId="88" fillId="2" borderId="1" xfId="8641" applyFont="1" applyFill="1" applyBorder="1" applyAlignment="1">
      <alignment horizontal="center" vertical="center" wrapText="1"/>
    </xf>
    <xf numFmtId="0" fontId="9" fillId="0" borderId="1" xfId="0" applyFont="1" applyBorder="1" applyAlignment="1">
      <alignment vertical="center" wrapText="1"/>
    </xf>
    <xf numFmtId="0" fontId="89" fillId="0" borderId="0" xfId="5" applyFont="1" applyAlignment="1">
      <alignment wrapText="1"/>
    </xf>
    <xf numFmtId="0" fontId="18" fillId="0" borderId="1" xfId="0" applyFont="1" applyBorder="1"/>
    <xf numFmtId="0" fontId="10" fillId="0" borderId="1" xfId="5" applyFont="1" applyBorder="1" applyAlignment="1">
      <alignment wrapText="1"/>
    </xf>
    <xf numFmtId="0" fontId="88" fillId="2" borderId="1" xfId="8641" applyFont="1" applyFill="1" applyBorder="1" applyAlignment="1">
      <alignment horizontal="center"/>
    </xf>
    <xf numFmtId="0" fontId="88" fillId="0" borderId="1" xfId="8641" applyFont="1" applyFill="1" applyBorder="1" applyAlignment="1">
      <alignment horizontal="center"/>
    </xf>
    <xf numFmtId="0" fontId="10" fillId="0" borderId="1" xfId="5" applyFont="1" applyFill="1" applyBorder="1" applyAlignment="1">
      <alignment wrapText="1"/>
    </xf>
    <xf numFmtId="0" fontId="10" fillId="0" borderId="0" xfId="5" applyFont="1" applyFill="1" applyAlignment="1">
      <alignment wrapText="1"/>
    </xf>
    <xf numFmtId="0" fontId="10" fillId="0" borderId="1" xfId="5" applyFont="1" applyBorder="1" applyAlignment="1">
      <alignment horizontal="center" wrapText="1"/>
    </xf>
    <xf numFmtId="0" fontId="90" fillId="2" borderId="1" xfId="8641" applyFont="1" applyFill="1" applyBorder="1"/>
    <xf numFmtId="0" fontId="90" fillId="2" borderId="1" xfId="8641" applyFont="1" applyFill="1" applyBorder="1" applyAlignment="1">
      <alignment horizontal="center"/>
    </xf>
    <xf numFmtId="0" fontId="10" fillId="0" borderId="0" xfId="5" applyFont="1" applyAlignment="1">
      <alignment horizontal="center" wrapText="1"/>
    </xf>
    <xf numFmtId="0" fontId="16" fillId="2" borderId="0" xfId="5" applyFont="1" applyFill="1"/>
    <xf numFmtId="166" fontId="16" fillId="2" borderId="0" xfId="9" applyNumberFormat="1" applyFont="1" applyFill="1"/>
    <xf numFmtId="166" fontId="16" fillId="0" borderId="0" xfId="9" applyNumberFormat="1" applyFont="1" applyFill="1"/>
    <xf numFmtId="43" fontId="16" fillId="0" borderId="0" xfId="9" applyFont="1" applyFill="1"/>
    <xf numFmtId="0" fontId="16" fillId="2" borderId="1" xfId="5" applyFont="1" applyFill="1" applyBorder="1" applyAlignment="1">
      <alignment horizontal="center" vertical="center" wrapText="1"/>
    </xf>
    <xf numFmtId="166" fontId="16" fillId="16" borderId="1" xfId="9" applyNumberFormat="1" applyFont="1" applyFill="1" applyBorder="1" applyAlignment="1">
      <alignment horizontal="center" vertical="center" wrapText="1"/>
    </xf>
    <xf numFmtId="166" fontId="16" fillId="5" borderId="1" xfId="9" applyNumberFormat="1" applyFont="1" applyFill="1" applyBorder="1" applyAlignment="1">
      <alignment horizontal="center" vertical="center" wrapText="1"/>
    </xf>
    <xf numFmtId="0" fontId="0" fillId="15" borderId="1" xfId="0" applyFill="1" applyBorder="1" applyAlignment="1">
      <alignment horizontal="center" vertical="center"/>
    </xf>
    <xf numFmtId="43" fontId="0" fillId="15" borderId="1" xfId="9" applyFont="1" applyFill="1" applyBorder="1" applyAlignment="1">
      <alignment horizontal="center" wrapText="1"/>
    </xf>
    <xf numFmtId="43" fontId="0" fillId="15" borderId="1" xfId="9" applyFont="1" applyFill="1" applyBorder="1" applyAlignment="1">
      <alignment horizontal="center" vertical="center" wrapText="1"/>
    </xf>
    <xf numFmtId="0" fontId="0" fillId="0" borderId="1" xfId="0" applyBorder="1" applyAlignment="1">
      <alignment vertical="center"/>
    </xf>
    <xf numFmtId="0" fontId="0" fillId="0" borderId="1" xfId="5" applyFont="1" applyFill="1" applyBorder="1" applyAlignment="1">
      <alignment horizontal="left" vertical="center" wrapText="1"/>
    </xf>
    <xf numFmtId="166" fontId="64" fillId="15" borderId="1" xfId="0" applyNumberFormat="1" applyFont="1" applyFill="1" applyBorder="1" applyAlignment="1">
      <alignment vertical="center"/>
    </xf>
    <xf numFmtId="166" fontId="0" fillId="0" borderId="1" xfId="9" applyNumberFormat="1" applyFont="1" applyBorder="1" applyAlignment="1">
      <alignment vertical="center"/>
    </xf>
    <xf numFmtId="166" fontId="64" fillId="15" borderId="1" xfId="9" applyNumberFormat="1" applyFont="1" applyFill="1" applyBorder="1" applyAlignment="1">
      <alignment vertical="center"/>
    </xf>
    <xf numFmtId="43" fontId="64" fillId="15" borderId="1" xfId="9" applyFont="1" applyFill="1" applyBorder="1" applyAlignment="1">
      <alignment vertical="center"/>
    </xf>
    <xf numFmtId="3" fontId="0" fillId="2" borderId="1" xfId="5" applyNumberFormat="1" applyFont="1" applyFill="1" applyBorder="1" applyAlignment="1">
      <alignment horizontal="left" vertical="center" wrapText="1"/>
    </xf>
    <xf numFmtId="43" fontId="4" fillId="2" borderId="1" xfId="9" applyNumberFormat="1" applyFont="1" applyFill="1" applyBorder="1" applyAlignment="1">
      <alignment vertical="center" wrapText="1"/>
    </xf>
    <xf numFmtId="3" fontId="0" fillId="2" borderId="1" xfId="5" applyNumberFormat="1" applyFont="1" applyFill="1" applyBorder="1" applyAlignment="1">
      <alignment horizontal="center" vertical="center" wrapText="1"/>
    </xf>
    <xf numFmtId="0" fontId="0" fillId="2" borderId="1" xfId="0" applyFont="1" applyFill="1" applyBorder="1" applyAlignment="1">
      <alignment vertical="center" wrapText="1"/>
    </xf>
    <xf numFmtId="0" fontId="0" fillId="2" borderId="1" xfId="5" applyFont="1" applyFill="1" applyBorder="1" applyAlignment="1">
      <alignment horizontal="left" vertical="center" wrapText="1"/>
    </xf>
    <xf numFmtId="166" fontId="4" fillId="2" borderId="1" xfId="9" applyNumberFormat="1" applyFont="1" applyFill="1" applyBorder="1"/>
    <xf numFmtId="3" fontId="4" fillId="2" borderId="1" xfId="0" applyNumberFormat="1" applyFont="1" applyFill="1" applyBorder="1" applyAlignment="1">
      <alignment horizontal="right"/>
    </xf>
    <xf numFmtId="0" fontId="4" fillId="2" borderId="1" xfId="0" applyFont="1" applyFill="1" applyBorder="1" applyAlignment="1">
      <alignment vertical="center"/>
    </xf>
    <xf numFmtId="3" fontId="4" fillId="2" borderId="1" xfId="0" applyNumberFormat="1" applyFont="1" applyFill="1" applyBorder="1" applyAlignment="1">
      <alignment vertical="center"/>
    </xf>
    <xf numFmtId="41" fontId="4" fillId="2" borderId="1" xfId="9" applyNumberFormat="1" applyFont="1" applyFill="1" applyBorder="1" applyAlignment="1">
      <alignment horizontal="center" vertical="center"/>
    </xf>
    <xf numFmtId="166" fontId="64" fillId="0" borderId="1" xfId="0" applyNumberFormat="1" applyFont="1" applyBorder="1"/>
    <xf numFmtId="43" fontId="64" fillId="0" borderId="1" xfId="9" applyFont="1" applyBorder="1"/>
    <xf numFmtId="0" fontId="16" fillId="2" borderId="0" xfId="5" applyFont="1" applyFill="1" applyAlignment="1">
      <alignment horizontal="center" vertical="center"/>
    </xf>
    <xf numFmtId="0" fontId="0" fillId="0" borderId="0" xfId="0" applyAlignment="1">
      <alignment horizontal="center" vertical="center"/>
    </xf>
    <xf numFmtId="166" fontId="14" fillId="0" borderId="1" xfId="0" applyNumberFormat="1" applyFont="1" applyBorder="1"/>
    <xf numFmtId="43" fontId="14" fillId="0" borderId="1" xfId="9" applyFont="1" applyBorder="1"/>
    <xf numFmtId="43" fontId="22" fillId="0" borderId="0" xfId="9" applyFont="1"/>
    <xf numFmtId="0" fontId="22" fillId="15" borderId="1" xfId="0" applyFont="1" applyFill="1" applyBorder="1" applyAlignment="1">
      <alignment horizontal="center" vertical="center"/>
    </xf>
    <xf numFmtId="43" fontId="22" fillId="15" borderId="1" xfId="9" applyFont="1" applyFill="1" applyBorder="1" applyAlignment="1">
      <alignment horizontal="center" wrapText="1"/>
    </xf>
    <xf numFmtId="43" fontId="22" fillId="15" borderId="1" xfId="9" applyFont="1" applyFill="1" applyBorder="1" applyAlignment="1">
      <alignment horizontal="center" vertical="center" wrapText="1"/>
    </xf>
    <xf numFmtId="0" fontId="22" fillId="0" borderId="1" xfId="0" applyFont="1" applyBorder="1" applyAlignment="1">
      <alignment vertical="center"/>
    </xf>
    <xf numFmtId="0" fontId="22" fillId="0" borderId="1" xfId="5" applyFont="1" applyFill="1" applyBorder="1" applyAlignment="1">
      <alignment horizontal="left" vertical="center" wrapText="1"/>
    </xf>
    <xf numFmtId="0" fontId="22" fillId="0" borderId="1" xfId="5" applyFont="1" applyFill="1" applyBorder="1" applyAlignment="1">
      <alignment horizontal="center" vertical="center" wrapText="1"/>
    </xf>
    <xf numFmtId="166" fontId="22" fillId="2" borderId="1" xfId="9" applyNumberFormat="1" applyFont="1" applyFill="1" applyBorder="1" applyAlignment="1">
      <alignment vertical="center" wrapText="1"/>
    </xf>
    <xf numFmtId="166" fontId="14" fillId="15" borderId="1" xfId="0" applyNumberFormat="1" applyFont="1" applyFill="1" applyBorder="1" applyAlignment="1">
      <alignment vertical="center"/>
    </xf>
    <xf numFmtId="166" fontId="22" fillId="0" borderId="1" xfId="9" applyNumberFormat="1" applyFont="1" applyBorder="1" applyAlignment="1">
      <alignment vertical="center"/>
    </xf>
    <xf numFmtId="166" fontId="14" fillId="15" borderId="1" xfId="9" applyNumberFormat="1" applyFont="1" applyFill="1" applyBorder="1" applyAlignment="1">
      <alignment vertical="center"/>
    </xf>
    <xf numFmtId="43" fontId="14" fillId="15" borderId="1" xfId="9" applyFont="1" applyFill="1" applyBorder="1" applyAlignment="1">
      <alignment vertical="center"/>
    </xf>
    <xf numFmtId="3" fontId="22" fillId="2" borderId="1" xfId="5" applyNumberFormat="1" applyFont="1" applyFill="1" applyBorder="1" applyAlignment="1">
      <alignment horizontal="left" vertical="center" wrapText="1"/>
    </xf>
    <xf numFmtId="0" fontId="22" fillId="0" borderId="1" xfId="5" applyFont="1" applyFill="1" applyBorder="1" applyAlignment="1">
      <alignment vertical="center" wrapText="1"/>
    </xf>
    <xf numFmtId="3" fontId="22" fillId="2" borderId="1" xfId="5" applyNumberFormat="1" applyFont="1" applyFill="1" applyBorder="1" applyAlignment="1">
      <alignment horizontal="center" vertical="center" wrapText="1"/>
    </xf>
    <xf numFmtId="0" fontId="22" fillId="2" borderId="1" xfId="5" applyFont="1" applyFill="1" applyBorder="1" applyAlignment="1">
      <alignment horizontal="center" vertical="center" wrapText="1"/>
    </xf>
    <xf numFmtId="43" fontId="22" fillId="2" borderId="1" xfId="9" applyNumberFormat="1" applyFont="1" applyFill="1" applyBorder="1" applyAlignment="1">
      <alignment vertical="center" wrapText="1"/>
    </xf>
    <xf numFmtId="0" fontId="22" fillId="2" borderId="1" xfId="0" applyFont="1" applyFill="1" applyBorder="1" applyAlignment="1">
      <alignment vertical="center" wrapText="1"/>
    </xf>
    <xf numFmtId="166" fontId="22" fillId="2" borderId="1" xfId="9" applyNumberFormat="1" applyFont="1" applyFill="1" applyBorder="1" applyAlignment="1">
      <alignment horizontal="center" vertical="center" wrapText="1"/>
    </xf>
    <xf numFmtId="0" fontId="22" fillId="2" borderId="1" xfId="5" applyFont="1" applyFill="1" applyBorder="1" applyAlignment="1">
      <alignment horizontal="left" vertical="center" wrapText="1"/>
    </xf>
    <xf numFmtId="0" fontId="22" fillId="2" borderId="1" xfId="5" applyFont="1" applyFill="1" applyBorder="1" applyAlignment="1">
      <alignment vertical="center" wrapText="1"/>
    </xf>
    <xf numFmtId="166" fontId="14" fillId="2" borderId="1" xfId="9" applyNumberFormat="1" applyFont="1" applyFill="1" applyBorder="1" applyAlignment="1">
      <alignment horizontal="right" vertical="center" wrapText="1"/>
    </xf>
    <xf numFmtId="0" fontId="22" fillId="2" borderId="1" xfId="0" applyFont="1" applyFill="1" applyBorder="1"/>
    <xf numFmtId="166" fontId="22" fillId="2" borderId="1" xfId="9" applyNumberFormat="1" applyFont="1" applyFill="1" applyBorder="1"/>
    <xf numFmtId="3" fontId="22" fillId="2" borderId="1" xfId="0" applyNumberFormat="1" applyFont="1" applyFill="1" applyBorder="1" applyAlignment="1">
      <alignment horizontal="right"/>
    </xf>
    <xf numFmtId="0" fontId="22" fillId="2" borderId="1" xfId="0" applyFont="1" applyFill="1" applyBorder="1" applyAlignment="1">
      <alignment vertical="center"/>
    </xf>
    <xf numFmtId="3" fontId="22" fillId="2" borderId="1" xfId="0" applyNumberFormat="1" applyFont="1" applyFill="1" applyBorder="1" applyAlignment="1">
      <alignment vertical="center"/>
    </xf>
    <xf numFmtId="3" fontId="22" fillId="2" borderId="1" xfId="0" applyNumberFormat="1" applyFont="1" applyFill="1" applyBorder="1"/>
    <xf numFmtId="166" fontId="22" fillId="2" borderId="1" xfId="9" applyNumberFormat="1" applyFont="1" applyFill="1" applyBorder="1" applyAlignment="1">
      <alignment horizontal="right" vertical="center" wrapText="1"/>
    </xf>
    <xf numFmtId="0" fontId="22" fillId="2" borderId="1" xfId="0" applyFont="1" applyFill="1" applyBorder="1" applyAlignment="1">
      <alignment horizontal="center" vertical="center" wrapText="1"/>
    </xf>
    <xf numFmtId="41" fontId="22" fillId="2" borderId="1" xfId="9" applyNumberFormat="1" applyFont="1" applyFill="1" applyBorder="1" applyAlignment="1">
      <alignment horizontal="center" vertical="center"/>
    </xf>
    <xf numFmtId="0" fontId="75" fillId="0" borderId="1" xfId="0" applyFont="1" applyBorder="1" applyAlignment="1">
      <alignment horizontal="center" vertical="center" wrapText="1"/>
    </xf>
    <xf numFmtId="0" fontId="25" fillId="2" borderId="1" xfId="0" applyFont="1" applyFill="1" applyBorder="1" applyAlignment="1">
      <alignment vertical="center" wrapText="1"/>
    </xf>
    <xf numFmtId="0" fontId="25" fillId="2" borderId="1" xfId="0" applyFont="1" applyFill="1" applyBorder="1" applyAlignment="1">
      <alignment horizontal="center" vertical="center" wrapText="1"/>
    </xf>
    <xf numFmtId="0" fontId="84" fillId="0" borderId="1" xfId="8643" applyFont="1" applyBorder="1"/>
    <xf numFmtId="164" fontId="84" fillId="0" borderId="1" xfId="8643" applyNumberFormat="1" applyFont="1" applyBorder="1" applyAlignment="1">
      <alignment horizontal="right"/>
    </xf>
    <xf numFmtId="0" fontId="95" fillId="5" borderId="1" xfId="8643" applyFont="1" applyFill="1" applyBorder="1" applyAlignment="1">
      <alignment horizontal="center" vertical="center" wrapText="1"/>
    </xf>
    <xf numFmtId="49" fontId="84" fillId="5" borderId="1" xfId="8643" applyNumberFormat="1" applyFont="1" applyFill="1" applyBorder="1" applyAlignment="1">
      <alignment horizontal="center" vertical="center" wrapText="1"/>
    </xf>
    <xf numFmtId="0" fontId="94" fillId="18" borderId="1" xfId="8643" applyFont="1" applyFill="1" applyBorder="1"/>
    <xf numFmtId="164" fontId="94" fillId="18" borderId="1" xfId="8643" applyNumberFormat="1" applyFont="1" applyFill="1" applyBorder="1" applyAlignment="1">
      <alignment horizontal="right"/>
    </xf>
    <xf numFmtId="0" fontId="84" fillId="10" borderId="1" xfId="8643" applyFont="1" applyFill="1" applyBorder="1"/>
    <xf numFmtId="164" fontId="84" fillId="10" borderId="1" xfId="8643" applyNumberFormat="1" applyFont="1" applyFill="1" applyBorder="1" applyAlignment="1">
      <alignment horizontal="right"/>
    </xf>
    <xf numFmtId="3" fontId="84" fillId="10" borderId="1" xfId="8643" applyNumberFormat="1" applyFont="1" applyFill="1" applyBorder="1" applyAlignment="1">
      <alignment horizontal="center"/>
    </xf>
    <xf numFmtId="166" fontId="16" fillId="0" borderId="0" xfId="9" applyNumberFormat="1" applyFont="1" applyAlignment="1">
      <alignment vertical="center"/>
    </xf>
    <xf numFmtId="0" fontId="16" fillId="0" borderId="0" xfId="0" applyFont="1" applyAlignment="1">
      <alignment horizontal="left" vertical="center"/>
    </xf>
    <xf numFmtId="166" fontId="16" fillId="0" borderId="0" xfId="9" applyNumberFormat="1" applyFont="1" applyAlignment="1">
      <alignment horizontal="center" vertical="center"/>
    </xf>
    <xf numFmtId="0" fontId="31" fillId="0" borderId="0" xfId="0" applyFont="1" applyAlignment="1">
      <alignment vertical="center"/>
    </xf>
    <xf numFmtId="0" fontId="31" fillId="0" borderId="0" xfId="0" applyFont="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vertical="center"/>
    </xf>
    <xf numFmtId="166" fontId="16" fillId="0" borderId="0" xfId="9" applyNumberFormat="1" applyFont="1" applyBorder="1" applyAlignment="1">
      <alignment horizontal="center" vertical="center"/>
    </xf>
    <xf numFmtId="166" fontId="16" fillId="0" borderId="0" xfId="9" applyNumberFormat="1" applyFont="1" applyBorder="1" applyAlignment="1">
      <alignment vertical="center"/>
    </xf>
    <xf numFmtId="0" fontId="31" fillId="0" borderId="1" xfId="0" applyFont="1" applyBorder="1" applyAlignment="1">
      <alignment horizontal="left" vertical="center" wrapText="1"/>
    </xf>
    <xf numFmtId="166" fontId="31" fillId="0" borderId="1" xfId="9" applyNumberFormat="1" applyFont="1" applyBorder="1" applyAlignment="1">
      <alignment horizontal="center" vertical="center" wrapText="1"/>
    </xf>
    <xf numFmtId="166" fontId="16" fillId="0" borderId="1" xfId="9" applyNumberFormat="1" applyFont="1" applyBorder="1" applyAlignment="1">
      <alignment horizontal="center" vertical="center" wrapText="1"/>
    </xf>
    <xf numFmtId="166" fontId="16" fillId="0" borderId="1" xfId="9" applyNumberFormat="1" applyFont="1" applyBorder="1" applyAlignment="1">
      <alignment vertical="center" wrapText="1"/>
    </xf>
    <xf numFmtId="0" fontId="31" fillId="0" borderId="1" xfId="0" applyFont="1" applyBorder="1" applyAlignment="1">
      <alignment horizontal="left" vertical="center"/>
    </xf>
    <xf numFmtId="0" fontId="31" fillId="0" borderId="0" xfId="0" applyFont="1" applyBorder="1" applyAlignment="1">
      <alignment horizontal="center" vertical="center"/>
    </xf>
    <xf numFmtId="0" fontId="31" fillId="0" borderId="0" xfId="0" applyFont="1" applyBorder="1" applyAlignment="1">
      <alignment horizontal="left" vertical="center"/>
    </xf>
    <xf numFmtId="166" fontId="31" fillId="0" borderId="0" xfId="9" applyNumberFormat="1" applyFont="1" applyBorder="1" applyAlignment="1">
      <alignment horizontal="center" vertical="center" wrapText="1"/>
    </xf>
    <xf numFmtId="166" fontId="16" fillId="0" borderId="0" xfId="9" applyNumberFormat="1" applyFont="1" applyAlignment="1">
      <alignment vertical="center" wrapText="1"/>
    </xf>
    <xf numFmtId="0" fontId="16" fillId="0" borderId="0" xfId="0" applyFont="1" applyBorder="1" applyAlignment="1">
      <alignment horizontal="center" vertical="center"/>
    </xf>
    <xf numFmtId="0" fontId="16" fillId="0" borderId="0" xfId="0" applyFont="1" applyBorder="1" applyAlignment="1">
      <alignment horizontal="left" vertical="center" wrapText="1"/>
    </xf>
    <xf numFmtId="0" fontId="16" fillId="0" borderId="0" xfId="0" applyFont="1" applyBorder="1" applyAlignment="1">
      <alignment vertical="center" wrapText="1"/>
    </xf>
    <xf numFmtId="166" fontId="16" fillId="0" borderId="0" xfId="9" applyNumberFormat="1" applyFont="1" applyBorder="1" applyAlignment="1">
      <alignment horizontal="center" vertical="center" wrapText="1"/>
    </xf>
    <xf numFmtId="166" fontId="16" fillId="0" borderId="0" xfId="9" applyNumberFormat="1" applyFont="1" applyBorder="1" applyAlignment="1">
      <alignment vertical="center" wrapText="1"/>
    </xf>
    <xf numFmtId="166" fontId="16" fillId="0" borderId="1" xfId="9" applyNumberFormat="1" applyFont="1" applyBorder="1" applyAlignment="1">
      <alignment horizontal="right" vertical="center" wrapText="1"/>
    </xf>
    <xf numFmtId="0" fontId="16" fillId="0" borderId="1" xfId="0" applyFont="1" applyFill="1" applyBorder="1" applyAlignment="1">
      <alignment horizontal="left" vertical="center" wrapText="1"/>
    </xf>
    <xf numFmtId="166" fontId="16" fillId="0" borderId="1" xfId="9" applyNumberFormat="1" applyFont="1" applyFill="1" applyBorder="1" applyAlignment="1">
      <alignment horizontal="center" vertical="center" wrapText="1"/>
    </xf>
    <xf numFmtId="166" fontId="16" fillId="0" borderId="1" xfId="9" applyNumberFormat="1" applyFont="1" applyFill="1" applyBorder="1" applyAlignment="1">
      <alignment horizontal="right" vertical="center" wrapText="1"/>
    </xf>
    <xf numFmtId="166" fontId="16" fillId="0" borderId="1" xfId="9" applyNumberFormat="1" applyFont="1" applyBorder="1" applyAlignment="1">
      <alignment horizontal="left" vertical="center" wrapText="1"/>
    </xf>
    <xf numFmtId="166" fontId="31" fillId="0" borderId="1" xfId="9" applyNumberFormat="1" applyFont="1" applyBorder="1" applyAlignment="1">
      <alignment vertical="center" wrapText="1"/>
    </xf>
    <xf numFmtId="0" fontId="16" fillId="0" borderId="0" xfId="0" applyFont="1" applyAlignment="1">
      <alignment horizontal="left" vertical="center" wrapText="1"/>
    </xf>
    <xf numFmtId="166" fontId="16" fillId="0" borderId="0" xfId="9" applyNumberFormat="1" applyFont="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left" vertical="center" wrapText="1"/>
    </xf>
    <xf numFmtId="166" fontId="31" fillId="0" borderId="1" xfId="9" applyNumberFormat="1" applyFont="1" applyBorder="1" applyAlignment="1">
      <alignment horizontal="right" vertical="center" wrapText="1"/>
    </xf>
    <xf numFmtId="166" fontId="16" fillId="0" borderId="1" xfId="9" applyNumberFormat="1" applyFont="1" applyBorder="1" applyAlignment="1">
      <alignment horizontal="center" vertical="center"/>
    </xf>
    <xf numFmtId="166" fontId="16" fillId="0" borderId="1" xfId="9" applyNumberFormat="1" applyFont="1" applyBorder="1" applyAlignment="1">
      <alignment vertical="center"/>
    </xf>
    <xf numFmtId="166" fontId="31" fillId="0" borderId="1" xfId="9" applyNumberFormat="1" applyFont="1" applyBorder="1" applyAlignment="1">
      <alignment vertical="center"/>
    </xf>
    <xf numFmtId="0" fontId="16" fillId="0" borderId="7" xfId="0" applyFont="1" applyBorder="1" applyAlignment="1">
      <alignment horizontal="left" vertical="center" wrapText="1"/>
    </xf>
    <xf numFmtId="0" fontId="16" fillId="0" borderId="7" xfId="0" applyFont="1" applyBorder="1" applyAlignment="1">
      <alignment horizontal="center" vertical="center"/>
    </xf>
    <xf numFmtId="166" fontId="16" fillId="0" borderId="7" xfId="9" applyNumberFormat="1" applyFont="1" applyBorder="1" applyAlignment="1">
      <alignment horizontal="center" vertical="center" wrapText="1"/>
    </xf>
    <xf numFmtId="166" fontId="16" fillId="0" borderId="7" xfId="9" applyNumberFormat="1" applyFont="1" applyBorder="1" applyAlignment="1">
      <alignment horizontal="right" vertical="center" wrapText="1"/>
    </xf>
    <xf numFmtId="0" fontId="31" fillId="0" borderId="7" xfId="0" applyFont="1" applyBorder="1" applyAlignment="1">
      <alignment vertical="center"/>
    </xf>
    <xf numFmtId="166" fontId="31" fillId="0" borderId="7" xfId="9" applyNumberFormat="1" applyFont="1" applyBorder="1" applyAlignment="1">
      <alignment horizontal="center" vertical="center"/>
    </xf>
    <xf numFmtId="166" fontId="31" fillId="0" borderId="7" xfId="9" applyNumberFormat="1" applyFont="1" applyBorder="1" applyAlignment="1">
      <alignment vertical="center"/>
    </xf>
    <xf numFmtId="166" fontId="31" fillId="0" borderId="7" xfId="9" applyNumberFormat="1" applyFont="1" applyBorder="1" applyAlignment="1">
      <alignment horizontal="right" vertical="center"/>
    </xf>
    <xf numFmtId="0" fontId="28" fillId="0" borderId="0" xfId="0" applyFont="1" applyBorder="1" applyAlignment="1">
      <alignment vertical="center"/>
    </xf>
    <xf numFmtId="0" fontId="32" fillId="0" borderId="0" xfId="0" applyFont="1" applyBorder="1" applyAlignment="1">
      <alignment vertical="center"/>
    </xf>
    <xf numFmtId="0" fontId="32" fillId="0" borderId="9" xfId="0" applyFont="1" applyBorder="1" applyAlignment="1">
      <alignment vertical="center"/>
    </xf>
    <xf numFmtId="166" fontId="32" fillId="0" borderId="1" xfId="9" applyNumberFormat="1" applyFont="1" applyBorder="1" applyAlignment="1">
      <alignment horizontal="center" vertical="center" wrapText="1"/>
    </xf>
    <xf numFmtId="0" fontId="28" fillId="0" borderId="0" xfId="0" applyFont="1" applyAlignment="1">
      <alignment vertical="center"/>
    </xf>
    <xf numFmtId="0" fontId="28" fillId="0" borderId="1" xfId="0" applyFont="1" applyBorder="1" applyAlignment="1">
      <alignment horizontal="center" vertical="center"/>
    </xf>
    <xf numFmtId="0" fontId="28" fillId="0" borderId="1" xfId="0" applyFont="1" applyBorder="1" applyAlignment="1">
      <alignment vertical="center"/>
    </xf>
    <xf numFmtId="166" fontId="28" fillId="0" borderId="1" xfId="9" applyNumberFormat="1" applyFont="1" applyBorder="1" applyAlignment="1">
      <alignment horizontal="center" vertical="center"/>
    </xf>
    <xf numFmtId="166" fontId="28" fillId="0" borderId="1" xfId="9" applyNumberFormat="1" applyFont="1" applyBorder="1" applyAlignment="1">
      <alignment vertical="center"/>
    </xf>
    <xf numFmtId="0" fontId="16" fillId="3" borderId="0" xfId="0" applyFont="1" applyFill="1" applyAlignment="1">
      <alignment vertical="center" wrapText="1"/>
    </xf>
    <xf numFmtId="0" fontId="32" fillId="0" borderId="1" xfId="0" applyFont="1" applyBorder="1" applyAlignment="1">
      <alignment vertical="center"/>
    </xf>
    <xf numFmtId="0" fontId="32" fillId="0" borderId="1" xfId="0" applyFont="1" applyBorder="1" applyAlignment="1">
      <alignment horizontal="center" vertical="center"/>
    </xf>
    <xf numFmtId="166" fontId="32" fillId="0" borderId="1" xfId="0" applyNumberFormat="1" applyFont="1" applyBorder="1" applyAlignment="1">
      <alignment vertical="center"/>
    </xf>
    <xf numFmtId="0" fontId="28" fillId="0" borderId="0" xfId="0" applyFont="1" applyAlignment="1">
      <alignment horizontal="center" vertical="center"/>
    </xf>
    <xf numFmtId="166" fontId="28" fillId="0" borderId="0" xfId="9" applyNumberFormat="1" applyFont="1" applyAlignment="1">
      <alignment horizontal="center" vertical="center"/>
    </xf>
    <xf numFmtId="166" fontId="28" fillId="0" borderId="0" xfId="9" applyNumberFormat="1" applyFont="1" applyAlignment="1">
      <alignment vertical="center"/>
    </xf>
    <xf numFmtId="0" fontId="16" fillId="0" borderId="1" xfId="0" applyFont="1" applyBorder="1" applyAlignment="1">
      <alignment horizontal="left" vertical="center"/>
    </xf>
    <xf numFmtId="0" fontId="31" fillId="0" borderId="7" xfId="0" applyFont="1" applyBorder="1" applyAlignment="1">
      <alignment horizontal="left" vertical="center"/>
    </xf>
    <xf numFmtId="0" fontId="16" fillId="0" borderId="7" xfId="0" applyFont="1" applyBorder="1" applyAlignment="1">
      <alignment horizontal="center" vertical="center" wrapText="1"/>
    </xf>
    <xf numFmtId="166" fontId="31" fillId="0" borderId="7" xfId="9" applyNumberFormat="1" applyFont="1" applyBorder="1" applyAlignment="1">
      <alignment horizontal="right" vertical="center" wrapText="1"/>
    </xf>
    <xf numFmtId="0" fontId="16" fillId="0" borderId="0" xfId="0" applyFont="1" applyBorder="1" applyAlignment="1">
      <alignment horizontal="center" vertical="center" wrapText="1"/>
    </xf>
    <xf numFmtId="0" fontId="31" fillId="0" borderId="9" xfId="0" applyFont="1" applyBorder="1" applyAlignment="1">
      <alignment vertical="center"/>
    </xf>
    <xf numFmtId="166" fontId="16" fillId="0" borderId="1" xfId="9" applyNumberFormat="1" applyFont="1" applyBorder="1" applyAlignment="1">
      <alignment horizontal="right" vertical="center"/>
    </xf>
    <xf numFmtId="0" fontId="16" fillId="0" borderId="8" xfId="0" applyFont="1" applyBorder="1" applyAlignment="1">
      <alignment horizontal="left" vertical="center" wrapText="1"/>
    </xf>
    <xf numFmtId="166" fontId="5" fillId="2" borderId="1" xfId="9" applyNumberFormat="1" applyFont="1" applyFill="1" applyBorder="1" applyAlignment="1">
      <alignment horizontal="center" vertical="center" wrapText="1"/>
    </xf>
    <xf numFmtId="166" fontId="5" fillId="2" borderId="0" xfId="9" applyNumberFormat="1" applyFont="1" applyFill="1" applyBorder="1" applyAlignment="1">
      <alignment horizontal="right" vertical="center" wrapText="1"/>
    </xf>
    <xf numFmtId="0" fontId="5" fillId="2" borderId="0" xfId="0" applyFont="1" applyFill="1" applyAlignment="1">
      <alignment vertical="center"/>
    </xf>
    <xf numFmtId="0" fontId="16" fillId="0" borderId="7" xfId="0" applyFont="1" applyBorder="1" applyAlignment="1">
      <alignment horizontal="left" vertical="center"/>
    </xf>
    <xf numFmtId="166" fontId="32" fillId="0" borderId="1" xfId="9" applyNumberFormat="1" applyFont="1" applyBorder="1" applyAlignment="1">
      <alignment vertical="center"/>
    </xf>
    <xf numFmtId="0" fontId="31" fillId="0" borderId="0" xfId="0" applyFont="1" applyBorder="1" applyAlignment="1">
      <alignment horizontal="center" vertical="center" wrapText="1"/>
    </xf>
    <xf numFmtId="0" fontId="31" fillId="0" borderId="0" xfId="0" applyFont="1" applyBorder="1" applyAlignment="1">
      <alignment horizontal="left" vertical="center" wrapText="1"/>
    </xf>
    <xf numFmtId="0" fontId="31" fillId="0" borderId="1" xfId="0" applyFont="1" applyBorder="1" applyAlignment="1">
      <alignment horizontal="center" vertical="justify"/>
    </xf>
    <xf numFmtId="166" fontId="16" fillId="0" borderId="1" xfId="9" applyNumberFormat="1" applyFont="1" applyBorder="1" applyAlignment="1">
      <alignment horizontal="left" vertical="center"/>
    </xf>
    <xf numFmtId="0" fontId="31" fillId="0" borderId="1" xfId="0" applyFont="1" applyBorder="1" applyAlignment="1">
      <alignment vertical="center"/>
    </xf>
    <xf numFmtId="166" fontId="31" fillId="0" borderId="1" xfId="9" applyNumberFormat="1" applyFont="1" applyBorder="1" applyAlignment="1">
      <alignment horizontal="center" vertical="center"/>
    </xf>
    <xf numFmtId="0" fontId="31" fillId="0" borderId="0" xfId="0" applyFont="1" applyBorder="1" applyAlignment="1">
      <alignment vertical="center"/>
    </xf>
    <xf numFmtId="166" fontId="16" fillId="0" borderId="0" xfId="9" applyNumberFormat="1" applyFont="1" applyBorder="1" applyAlignment="1">
      <alignment horizontal="left" vertical="center"/>
    </xf>
    <xf numFmtId="166" fontId="31" fillId="0" borderId="0" xfId="9" applyNumberFormat="1" applyFont="1" applyBorder="1" applyAlignment="1">
      <alignment horizontal="center" vertical="center"/>
    </xf>
    <xf numFmtId="166" fontId="28" fillId="0" borderId="0" xfId="9" applyNumberFormat="1" applyFont="1" applyBorder="1" applyAlignment="1">
      <alignment vertical="center"/>
    </xf>
    <xf numFmtId="0" fontId="28" fillId="0" borderId="0" xfId="0" applyFont="1" applyBorder="1" applyAlignment="1">
      <alignment horizontal="center" vertical="center"/>
    </xf>
    <xf numFmtId="166" fontId="28" fillId="0" borderId="0" xfId="9" applyNumberFormat="1" applyFont="1" applyBorder="1" applyAlignment="1">
      <alignment horizontal="center" vertical="center"/>
    </xf>
    <xf numFmtId="0" fontId="28" fillId="0" borderId="0" xfId="0" applyFont="1" applyAlignment="1">
      <alignment horizontal="left" vertical="center"/>
    </xf>
    <xf numFmtId="0" fontId="27" fillId="0" borderId="1" xfId="0" applyFont="1" applyBorder="1" applyAlignment="1">
      <alignment horizontal="center" vertical="center"/>
    </xf>
    <xf numFmtId="0" fontId="27" fillId="0" borderId="1" xfId="0" applyFont="1" applyBorder="1" applyAlignment="1">
      <alignment horizontal="center"/>
    </xf>
    <xf numFmtId="0" fontId="25" fillId="0" borderId="0" xfId="0" applyFont="1" applyAlignment="1">
      <alignment horizontal="center"/>
    </xf>
    <xf numFmtId="0" fontId="25"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76" fillId="0" borderId="0" xfId="0" applyFont="1" applyBorder="1" applyAlignment="1">
      <alignment horizontal="center" vertical="center" wrapText="1"/>
    </xf>
    <xf numFmtId="167" fontId="75" fillId="10" borderId="1" xfId="9"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42" fillId="0" borderId="1" xfId="0" applyFont="1" applyBorder="1" applyAlignment="1">
      <alignment horizontal="left" vertical="center" wrapText="1"/>
    </xf>
    <xf numFmtId="166" fontId="39" fillId="0" borderId="1" xfId="9" applyNumberFormat="1" applyFont="1" applyBorder="1" applyAlignment="1">
      <alignment horizontal="right" vertical="center" wrapText="1"/>
    </xf>
    <xf numFmtId="0" fontId="42" fillId="0" borderId="0" xfId="0" applyFont="1" applyBorder="1" applyAlignment="1">
      <alignment horizontal="left" vertical="center" wrapText="1"/>
    </xf>
    <xf numFmtId="0" fontId="75" fillId="0" borderId="1" xfId="0" applyFont="1" applyBorder="1" applyAlignment="1">
      <alignment horizontal="left"/>
    </xf>
    <xf numFmtId="0" fontId="75" fillId="0" borderId="1" xfId="0" applyFont="1" applyFill="1" applyBorder="1" applyAlignment="1">
      <alignment horizontal="center"/>
    </xf>
    <xf numFmtId="0" fontId="75" fillId="0" borderId="0" xfId="0" applyFont="1" applyBorder="1" applyAlignment="1">
      <alignment horizontal="center" vertical="center" wrapText="1"/>
    </xf>
    <xf numFmtId="0" fontId="25" fillId="2" borderId="1" xfId="0" applyFont="1" applyFill="1" applyBorder="1" applyAlignment="1">
      <alignment vertical="center" wrapText="1"/>
    </xf>
    <xf numFmtId="0" fontId="2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0" borderId="6" xfId="0" applyFont="1" applyFill="1" applyBorder="1" applyAlignment="1">
      <alignment horizontal="left" vertical="center" wrapText="1"/>
    </xf>
    <xf numFmtId="0" fontId="75" fillId="10" borderId="1" xfId="0" applyFont="1" applyFill="1" applyBorder="1" applyAlignment="1">
      <alignment horizontal="center" vertical="center"/>
    </xf>
    <xf numFmtId="0" fontId="25" fillId="5" borderId="1" xfId="0" applyFont="1" applyFill="1" applyBorder="1" applyAlignment="1">
      <alignment vertical="top" wrapText="1"/>
    </xf>
    <xf numFmtId="0" fontId="25" fillId="0" borderId="1" xfId="0" applyFont="1" applyBorder="1" applyAlignment="1">
      <alignment vertical="top"/>
    </xf>
    <xf numFmtId="0" fontId="25" fillId="0" borderId="1" xfId="0" applyFont="1" applyBorder="1" applyAlignment="1">
      <alignment horizontal="left" vertical="top"/>
    </xf>
    <xf numFmtId="0" fontId="25" fillId="0" borderId="1" xfId="0" applyFont="1" applyBorder="1" applyAlignment="1">
      <alignment horizontal="left" vertical="top" wrapText="1"/>
    </xf>
    <xf numFmtId="0" fontId="25" fillId="0" borderId="1" xfId="0" applyFont="1" applyBorder="1" applyAlignment="1">
      <alignment vertical="top" wrapText="1"/>
    </xf>
    <xf numFmtId="0" fontId="75" fillId="0" borderId="1" xfId="0" applyFont="1" applyBorder="1" applyAlignment="1">
      <alignment horizontal="left" vertical="top"/>
    </xf>
    <xf numFmtId="0" fontId="75" fillId="10" borderId="1" xfId="0" applyFont="1" applyFill="1" applyBorder="1"/>
    <xf numFmtId="0" fontId="75" fillId="10" borderId="1" xfId="0" applyFont="1" applyFill="1" applyBorder="1" applyAlignment="1">
      <alignment horizontal="center"/>
    </xf>
    <xf numFmtId="1" fontId="75" fillId="0" borderId="1" xfId="0" applyNumberFormat="1" applyFont="1" applyBorder="1" applyAlignment="1">
      <alignment horizontal="center" vertical="center" wrapText="1"/>
    </xf>
    <xf numFmtId="0" fontId="75" fillId="2" borderId="1" xfId="0" applyFont="1" applyFill="1" applyBorder="1" applyAlignment="1">
      <alignment vertical="center" wrapText="1"/>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justify" vertical="center" wrapText="1"/>
    </xf>
    <xf numFmtId="1" fontId="0" fillId="0" borderId="0" xfId="0" applyNumberFormat="1"/>
    <xf numFmtId="166" fontId="75" fillId="0" borderId="1" xfId="9" applyNumberFormat="1" applyFont="1" applyBorder="1" applyAlignment="1">
      <alignment horizontal="center" vertical="center" wrapText="1"/>
    </xf>
    <xf numFmtId="0" fontId="25" fillId="0" borderId="1" xfId="0" applyFont="1" applyBorder="1" applyAlignment="1">
      <alignment horizontal="justify" vertical="center" wrapText="1"/>
    </xf>
    <xf numFmtId="0" fontId="26" fillId="0" borderId="1" xfId="8639" applyBorder="1" applyAlignment="1" applyProtection="1">
      <alignment vertical="center" wrapText="1"/>
    </xf>
    <xf numFmtId="0" fontId="25" fillId="0" borderId="1" xfId="0" applyFont="1" applyBorder="1" applyAlignment="1">
      <alignment horizontal="justify" vertical="center"/>
    </xf>
    <xf numFmtId="4" fontId="97" fillId="0" borderId="1" xfId="0" applyNumberFormat="1" applyFont="1" applyBorder="1" applyAlignment="1">
      <alignment vertical="center"/>
    </xf>
    <xf numFmtId="166" fontId="0" fillId="0" borderId="0" xfId="0" applyNumberFormat="1"/>
    <xf numFmtId="0" fontId="45" fillId="0" borderId="0" xfId="0" applyFont="1" applyAlignment="1">
      <alignment vertical="center"/>
    </xf>
    <xf numFmtId="0" fontId="31" fillId="8" borderId="3" xfId="0" applyFont="1" applyFill="1" applyBorder="1" applyAlignment="1">
      <alignment horizontal="left" vertical="center" wrapText="1"/>
    </xf>
    <xf numFmtId="0" fontId="31" fillId="8" borderId="4" xfId="0" applyFont="1" applyFill="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3" borderId="3" xfId="0" applyFont="1" applyFill="1" applyBorder="1" applyAlignment="1">
      <alignment horizontal="left" vertical="center" wrapText="1"/>
    </xf>
    <xf numFmtId="0" fontId="31" fillId="3" borderId="4" xfId="0" applyFont="1" applyFill="1" applyBorder="1" applyAlignment="1">
      <alignment horizontal="left" vertical="center" wrapText="1"/>
    </xf>
    <xf numFmtId="0" fontId="16" fillId="0" borderId="1" xfId="0" applyFont="1" applyBorder="1" applyAlignment="1">
      <alignment horizontal="center" vertical="center" textRotation="90" wrapText="1"/>
    </xf>
    <xf numFmtId="0" fontId="16"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16"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64" fillId="0" borderId="0" xfId="0" applyFont="1" applyAlignment="1">
      <alignment horizontal="center"/>
    </xf>
    <xf numFmtId="0" fontId="88" fillId="2" borderId="1" xfId="8641" applyFont="1" applyFill="1" applyBorder="1" applyAlignment="1">
      <alignment horizontal="center" vertical="center" wrapText="1"/>
    </xf>
    <xf numFmtId="0" fontId="88" fillId="0" borderId="1" xfId="8641" applyFont="1" applyFill="1" applyBorder="1" applyAlignment="1">
      <alignment horizontal="center" vertical="center" wrapText="1"/>
    </xf>
    <xf numFmtId="0" fontId="9" fillId="3" borderId="0" xfId="0" applyFont="1" applyFill="1" applyAlignment="1">
      <alignment vertical="center" wrapText="1"/>
    </xf>
    <xf numFmtId="0" fontId="85" fillId="0" borderId="0"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textRotation="90" wrapText="1"/>
    </xf>
    <xf numFmtId="166" fontId="16" fillId="17" borderId="1" xfId="9" applyNumberFormat="1" applyFont="1" applyFill="1" applyBorder="1" applyAlignment="1">
      <alignment horizontal="center" vertical="center" wrapText="1"/>
    </xf>
    <xf numFmtId="166" fontId="16" fillId="16" borderId="1" xfId="9" applyNumberFormat="1" applyFont="1" applyFill="1" applyBorder="1" applyAlignment="1">
      <alignment horizontal="center" vertical="center" wrapText="1"/>
    </xf>
    <xf numFmtId="166" fontId="16" fillId="5" borderId="1" xfId="9" applyNumberFormat="1" applyFont="1" applyFill="1" applyBorder="1" applyAlignment="1">
      <alignment horizontal="center" vertical="center" wrapText="1"/>
    </xf>
    <xf numFmtId="0" fontId="16" fillId="2" borderId="1" xfId="5" applyFont="1" applyFill="1" applyBorder="1" applyAlignment="1">
      <alignment horizontal="center" vertical="center" wrapText="1"/>
    </xf>
    <xf numFmtId="166" fontId="16" fillId="2" borderId="1" xfId="9" applyNumberFormat="1" applyFont="1" applyFill="1" applyBorder="1" applyAlignment="1">
      <alignment horizontal="center" vertical="center" wrapText="1"/>
    </xf>
    <xf numFmtId="43" fontId="16" fillId="15" borderId="1" xfId="9" applyFont="1" applyFill="1" applyBorder="1" applyAlignment="1">
      <alignment horizontal="center" vertical="center" wrapText="1"/>
    </xf>
    <xf numFmtId="0" fontId="16" fillId="5" borderId="1" xfId="5" applyFont="1" applyFill="1" applyBorder="1" applyAlignment="1">
      <alignment horizontal="center" vertical="center"/>
    </xf>
    <xf numFmtId="0" fontId="28" fillId="0" borderId="0" xfId="0" applyFont="1" applyAlignment="1">
      <alignment horizontal="center" vertical="center"/>
    </xf>
    <xf numFmtId="0" fontId="31"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horizontal="left"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Alignment="1">
      <alignment horizontal="left" vertical="center"/>
    </xf>
    <xf numFmtId="0" fontId="31" fillId="0" borderId="9" xfId="0" applyFont="1" applyBorder="1" applyAlignment="1">
      <alignment horizontal="left" vertical="center"/>
    </xf>
    <xf numFmtId="0" fontId="31" fillId="0" borderId="0" xfId="0" applyFont="1" applyBorder="1" applyAlignment="1">
      <alignment horizontal="left" vertical="center"/>
    </xf>
    <xf numFmtId="0" fontId="32" fillId="0" borderId="0" xfId="0" applyFont="1" applyAlignment="1">
      <alignment horizontal="left" vertical="center"/>
    </xf>
    <xf numFmtId="0" fontId="75" fillId="0" borderId="9" xfId="0" applyFont="1" applyBorder="1" applyAlignment="1">
      <alignment horizontal="center" vertical="center"/>
    </xf>
    <xf numFmtId="0" fontId="75" fillId="0" borderId="1" xfId="0" applyFont="1" applyBorder="1" applyAlignment="1">
      <alignment vertical="center" wrapText="1"/>
    </xf>
    <xf numFmtId="0" fontId="75" fillId="0" borderId="2" xfId="0" applyFont="1" applyBorder="1" applyAlignment="1">
      <alignment horizontal="center" vertical="center" wrapText="1"/>
    </xf>
    <xf numFmtId="0" fontId="75" fillId="0" borderId="7" xfId="0" applyFont="1" applyBorder="1" applyAlignment="1">
      <alignment horizontal="center" vertical="center" wrapText="1"/>
    </xf>
    <xf numFmtId="166" fontId="75" fillId="0" borderId="1" xfId="9" applyNumberFormat="1" applyFont="1" applyBorder="1" applyAlignment="1">
      <alignment vertical="center" wrapText="1"/>
    </xf>
    <xf numFmtId="166" fontId="75" fillId="0" borderId="1" xfId="9" applyNumberFormat="1" applyFont="1" applyBorder="1" applyAlignment="1">
      <alignment horizontal="center" vertical="center" wrapText="1"/>
    </xf>
    <xf numFmtId="0" fontId="25" fillId="0" borderId="1" xfId="0" applyFont="1" applyBorder="1" applyAlignment="1">
      <alignment horizontal="center" vertical="center" wrapText="1"/>
    </xf>
    <xf numFmtId="0" fontId="75" fillId="0" borderId="9" xfId="0" applyFont="1" applyBorder="1" applyAlignment="1">
      <alignment horizontal="center" vertical="center" wrapText="1"/>
    </xf>
    <xf numFmtId="0" fontId="75" fillId="0" borderId="3" xfId="0" applyFont="1" applyBorder="1" applyAlignment="1">
      <alignment horizontal="center" vertical="top" wrapText="1"/>
    </xf>
    <xf numFmtId="0" fontId="75" fillId="0" borderId="6" xfId="0" applyFont="1" applyBorder="1" applyAlignment="1">
      <alignment horizontal="center" vertical="top" wrapText="1"/>
    </xf>
    <xf numFmtId="0" fontId="75" fillId="0" borderId="4" xfId="0" applyFont="1" applyBorder="1" applyAlignment="1">
      <alignment horizontal="center" vertical="top" wrapText="1"/>
    </xf>
    <xf numFmtId="0" fontId="75" fillId="10" borderId="3" xfId="0" applyFont="1" applyFill="1" applyBorder="1" applyAlignment="1">
      <alignment horizontal="center"/>
    </xf>
    <xf numFmtId="0" fontId="75" fillId="10" borderId="4" xfId="0" applyFont="1" applyFill="1" applyBorder="1" applyAlignment="1">
      <alignment horizontal="center"/>
    </xf>
    <xf numFmtId="0" fontId="75" fillId="0" borderId="1" xfId="0" applyFont="1" applyBorder="1" applyAlignment="1">
      <alignment horizontal="center" vertical="center" wrapText="1"/>
    </xf>
    <xf numFmtId="0" fontId="64" fillId="2" borderId="3" xfId="5" applyFont="1" applyFill="1" applyBorder="1" applyAlignment="1">
      <alignment horizontal="center" vertical="center" wrapText="1"/>
    </xf>
    <xf numFmtId="0" fontId="64" fillId="2" borderId="6" xfId="5" applyFont="1" applyFill="1" applyBorder="1" applyAlignment="1">
      <alignment horizontal="center" vertical="center" wrapText="1"/>
    </xf>
    <xf numFmtId="0" fontId="64" fillId="2" borderId="4" xfId="5" applyFont="1" applyFill="1" applyBorder="1" applyAlignment="1">
      <alignment horizontal="center" vertical="center" wrapText="1"/>
    </xf>
    <xf numFmtId="0" fontId="14" fillId="12" borderId="1" xfId="5" applyFont="1" applyFill="1" applyBorder="1" applyAlignment="1">
      <alignment horizontal="center" vertical="center" textRotation="90" wrapText="1"/>
    </xf>
    <xf numFmtId="0" fontId="64" fillId="0" borderId="3" xfId="5" applyFont="1" applyFill="1" applyBorder="1" applyAlignment="1">
      <alignment horizontal="center" vertical="center" wrapText="1"/>
    </xf>
    <xf numFmtId="0" fontId="64" fillId="0" borderId="6" xfId="5" applyFont="1" applyFill="1" applyBorder="1" applyAlignment="1">
      <alignment horizontal="center" vertical="center" wrapText="1"/>
    </xf>
    <xf numFmtId="0" fontId="64" fillId="0" borderId="4" xfId="5" applyFont="1" applyFill="1" applyBorder="1" applyAlignment="1">
      <alignment horizontal="center" vertical="center" wrapText="1"/>
    </xf>
    <xf numFmtId="0" fontId="64" fillId="2" borderId="3" xfId="5" applyNumberFormat="1" applyFont="1" applyFill="1" applyBorder="1" applyAlignment="1">
      <alignment horizontal="center" vertical="center" wrapText="1"/>
    </xf>
    <xf numFmtId="0" fontId="64" fillId="2" borderId="6" xfId="5" applyNumberFormat="1" applyFont="1" applyFill="1" applyBorder="1" applyAlignment="1">
      <alignment horizontal="center" vertical="center" wrapText="1"/>
    </xf>
    <xf numFmtId="0" fontId="64" fillId="2" borderId="4" xfId="5" applyNumberFormat="1" applyFont="1" applyFill="1" applyBorder="1" applyAlignment="1">
      <alignment horizontal="center" vertical="center" wrapText="1"/>
    </xf>
    <xf numFmtId="9" fontId="14" fillId="12" borderId="1" xfId="5" applyNumberFormat="1" applyFont="1" applyFill="1" applyBorder="1" applyAlignment="1">
      <alignment horizontal="center" vertical="center" wrapText="1"/>
    </xf>
    <xf numFmtId="0" fontId="66" fillId="0" borderId="0" xfId="5" applyFont="1" applyFill="1" applyAlignment="1">
      <alignment vertical="center"/>
    </xf>
    <xf numFmtId="0" fontId="14" fillId="12" borderId="2" xfId="5" applyFont="1" applyFill="1" applyBorder="1" applyAlignment="1">
      <alignment horizontal="center" vertical="center" wrapText="1"/>
    </xf>
    <xf numFmtId="0" fontId="14" fillId="12" borderId="5" xfId="5" applyFont="1" applyFill="1" applyBorder="1" applyAlignment="1">
      <alignment horizontal="center" vertical="center" wrapText="1"/>
    </xf>
    <xf numFmtId="0" fontId="14" fillId="12" borderId="7" xfId="5" applyFont="1" applyFill="1" applyBorder="1" applyAlignment="1">
      <alignment horizontal="center" vertical="center" wrapText="1"/>
    </xf>
    <xf numFmtId="0" fontId="14" fillId="12" borderId="1" xfId="5" applyFont="1" applyFill="1" applyBorder="1" applyAlignment="1">
      <alignment horizontal="center" vertical="center" wrapText="1"/>
    </xf>
    <xf numFmtId="0" fontId="14" fillId="12" borderId="2" xfId="5" applyFont="1" applyFill="1" applyBorder="1" applyAlignment="1">
      <alignment horizontal="center" vertical="center" textRotation="90" wrapText="1"/>
    </xf>
    <xf numFmtId="0" fontId="14" fillId="12" borderId="5" xfId="5" applyFont="1" applyFill="1" applyBorder="1" applyAlignment="1">
      <alignment horizontal="center" vertical="center" textRotation="90" wrapText="1"/>
    </xf>
    <xf numFmtId="0" fontId="14" fillId="12" borderId="7" xfId="5" applyFont="1" applyFill="1" applyBorder="1" applyAlignment="1">
      <alignment horizontal="center" vertical="center" textRotation="90" wrapText="1"/>
    </xf>
    <xf numFmtId="9" fontId="14" fillId="12" borderId="2" xfId="5" applyNumberFormat="1" applyFont="1" applyFill="1" applyBorder="1" applyAlignment="1">
      <alignment horizontal="center" vertical="center" wrapText="1"/>
    </xf>
    <xf numFmtId="9" fontId="14" fillId="12" borderId="5" xfId="5" applyNumberFormat="1" applyFont="1" applyFill="1" applyBorder="1" applyAlignment="1">
      <alignment horizontal="center" vertical="center" wrapText="1"/>
    </xf>
    <xf numFmtId="9" fontId="14" fillId="12" borderId="7" xfId="5" applyNumberFormat="1" applyFont="1" applyFill="1" applyBorder="1" applyAlignment="1">
      <alignment horizontal="center" vertical="center" wrapText="1"/>
    </xf>
    <xf numFmtId="0" fontId="14" fillId="12" borderId="3" xfId="5" applyFont="1" applyFill="1" applyBorder="1" applyAlignment="1">
      <alignment horizontal="center" vertical="center"/>
    </xf>
    <xf numFmtId="0" fontId="14" fillId="12" borderId="6" xfId="5" applyFont="1" applyFill="1" applyBorder="1" applyAlignment="1">
      <alignment horizontal="center" vertical="center"/>
    </xf>
    <xf numFmtId="0" fontId="14" fillId="12" borderId="4" xfId="5" applyFont="1" applyFill="1" applyBorder="1" applyAlignment="1">
      <alignment horizontal="center" vertical="center"/>
    </xf>
    <xf numFmtId="3" fontId="64" fillId="0" borderId="3" xfId="5" applyNumberFormat="1" applyFont="1" applyFill="1" applyBorder="1" applyAlignment="1">
      <alignment horizontal="left" vertical="center" wrapText="1"/>
    </xf>
    <xf numFmtId="3" fontId="64" fillId="0" borderId="6" xfId="5" applyNumberFormat="1" applyFont="1" applyFill="1" applyBorder="1" applyAlignment="1">
      <alignment horizontal="left" vertical="center" wrapText="1"/>
    </xf>
    <xf numFmtId="3" fontId="64" fillId="0" borderId="4" xfId="5" applyNumberFormat="1" applyFont="1" applyFill="1" applyBorder="1" applyAlignment="1">
      <alignment horizontal="left" vertical="center" wrapText="1"/>
    </xf>
    <xf numFmtId="0" fontId="64" fillId="0" borderId="3" xfId="5" applyFont="1" applyFill="1" applyBorder="1" applyAlignment="1">
      <alignment horizontal="left" vertical="center" wrapText="1"/>
    </xf>
    <xf numFmtId="0" fontId="64" fillId="0" borderId="6" xfId="5" applyFont="1" applyFill="1" applyBorder="1" applyAlignment="1">
      <alignment horizontal="left" vertical="center" wrapText="1"/>
    </xf>
    <xf numFmtId="0" fontId="64" fillId="0" borderId="4" xfId="5" applyFont="1" applyFill="1" applyBorder="1" applyAlignment="1">
      <alignment horizontal="left" vertical="center" wrapText="1"/>
    </xf>
    <xf numFmtId="0" fontId="65" fillId="0" borderId="0" xfId="5" applyFont="1" applyAlignment="1">
      <alignment horizontal="center" vertical="center" wrapText="1"/>
    </xf>
    <xf numFmtId="0" fontId="66" fillId="0" borderId="0" xfId="5" applyFont="1" applyFill="1" applyAlignment="1">
      <alignment horizontal="center" vertical="center" wrapText="1"/>
    </xf>
    <xf numFmtId="0" fontId="14" fillId="12" borderId="3" xfId="5" applyFont="1" applyFill="1" applyBorder="1" applyAlignment="1">
      <alignment horizontal="center"/>
    </xf>
    <xf numFmtId="0" fontId="14" fillId="12" borderId="6" xfId="5" applyFont="1" applyFill="1" applyBorder="1" applyAlignment="1">
      <alignment horizontal="center"/>
    </xf>
    <xf numFmtId="0" fontId="14" fillId="12" borderId="4" xfId="5" applyFont="1" applyFill="1" applyBorder="1" applyAlignment="1">
      <alignment horizontal="center"/>
    </xf>
    <xf numFmtId="0" fontId="54" fillId="0" borderId="0" xfId="0" applyFont="1" applyAlignment="1">
      <alignment horizontal="center"/>
    </xf>
    <xf numFmtId="0" fontId="56" fillId="0" borderId="0" xfId="0" applyFont="1" applyAlignment="1">
      <alignment horizontal="center" vertical="center" wrapText="1"/>
    </xf>
    <xf numFmtId="2" fontId="57" fillId="0" borderId="0" xfId="0" applyNumberFormat="1" applyFont="1" applyAlignment="1">
      <alignment horizontal="center" vertical="top" wrapText="1"/>
    </xf>
    <xf numFmtId="0" fontId="52" fillId="0" borderId="0" xfId="0" applyFont="1" applyAlignment="1">
      <alignment horizontal="left" wrapText="1"/>
    </xf>
    <xf numFmtId="0" fontId="25" fillId="0" borderId="3" xfId="0" applyFont="1" applyBorder="1" applyAlignment="1">
      <alignment horizontal="center"/>
    </xf>
    <xf numFmtId="0" fontId="25" fillId="0" borderId="4" xfId="0" applyFont="1" applyBorder="1" applyAlignment="1">
      <alignment horizontal="center"/>
    </xf>
    <xf numFmtId="0" fontId="25" fillId="0" borderId="0" xfId="0" applyFont="1" applyAlignment="1">
      <alignment horizontal="center" vertical="top" wrapText="1"/>
    </xf>
    <xf numFmtId="0" fontId="25" fillId="0" borderId="0" xfId="0" applyFont="1" applyAlignment="1">
      <alignment horizontal="center"/>
    </xf>
    <xf numFmtId="0" fontId="27" fillId="0" borderId="1" xfId="0" applyFont="1" applyBorder="1" applyAlignment="1">
      <alignment horizontal="center" vertical="center"/>
    </xf>
    <xf numFmtId="17" fontId="27" fillId="0" borderId="1" xfId="0" applyNumberFormat="1"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xf>
    <xf numFmtId="0" fontId="25" fillId="0" borderId="0" xfId="0" applyFont="1" applyAlignment="1">
      <alignment horizontal="center" wrapText="1"/>
    </xf>
    <xf numFmtId="0" fontId="27" fillId="11" borderId="2" xfId="0" applyFont="1" applyFill="1" applyBorder="1" applyAlignment="1">
      <alignment horizontal="center" vertical="center"/>
    </xf>
    <xf numFmtId="0" fontId="27" fillId="11" borderId="7" xfId="0" applyFont="1" applyFill="1" applyBorder="1" applyAlignment="1">
      <alignment horizontal="center" vertical="center"/>
    </xf>
    <xf numFmtId="0" fontId="27" fillId="11" borderId="2" xfId="0" applyFont="1" applyFill="1" applyBorder="1" applyAlignment="1">
      <alignment horizontal="center" vertical="center" wrapText="1"/>
    </xf>
    <xf numFmtId="0" fontId="27" fillId="11" borderId="7" xfId="0" applyFont="1" applyFill="1" applyBorder="1" applyAlignment="1">
      <alignment horizontal="center" vertical="center" wrapText="1"/>
    </xf>
    <xf numFmtId="0" fontId="27" fillId="11" borderId="10" xfId="0" applyFont="1" applyFill="1" applyBorder="1" applyAlignment="1">
      <alignment horizontal="center" vertical="center"/>
    </xf>
    <xf numFmtId="0" fontId="27" fillId="11" borderId="12" xfId="0" applyFont="1" applyFill="1" applyBorder="1" applyAlignment="1">
      <alignment horizontal="center" vertical="center"/>
    </xf>
    <xf numFmtId="0" fontId="27" fillId="11" borderId="13" xfId="0" applyFont="1" applyFill="1" applyBorder="1" applyAlignment="1">
      <alignment horizontal="center" vertical="center"/>
    </xf>
    <xf numFmtId="0" fontId="27" fillId="11" borderId="8" xfId="0" applyFont="1" applyFill="1" applyBorder="1" applyAlignment="1">
      <alignment horizontal="center" vertical="center"/>
    </xf>
    <xf numFmtId="0" fontId="27" fillId="11" borderId="3" xfId="0" applyFont="1" applyFill="1" applyBorder="1" applyAlignment="1">
      <alignment horizontal="center" vertical="center"/>
    </xf>
    <xf numFmtId="0" fontId="27" fillId="11" borderId="4" xfId="0" applyFont="1" applyFill="1" applyBorder="1" applyAlignment="1">
      <alignment horizontal="center" vertical="center"/>
    </xf>
    <xf numFmtId="0" fontId="15" fillId="0" borderId="1" xfId="8637" applyFont="1" applyBorder="1" applyAlignment="1">
      <alignment horizontal="center" vertical="top"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9" xfId="0" applyFont="1" applyBorder="1" applyAlignment="1">
      <alignment horizontal="center" vertical="top" wrapText="1"/>
    </xf>
    <xf numFmtId="0" fontId="37" fillId="0" borderId="9" xfId="0" applyFont="1" applyBorder="1" applyAlignment="1">
      <alignment horizontal="center" vertical="top"/>
    </xf>
    <xf numFmtId="0" fontId="9" fillId="0" borderId="9" xfId="0" applyFont="1" applyBorder="1" applyAlignment="1">
      <alignment horizontal="center"/>
    </xf>
    <xf numFmtId="0" fontId="44" fillId="0" borderId="3" xfId="0" applyFont="1" applyBorder="1" applyAlignment="1">
      <alignment horizontal="center" vertical="top" wrapText="1"/>
    </xf>
    <xf numFmtId="0" fontId="44" fillId="0" borderId="6" xfId="0" applyFont="1" applyBorder="1" applyAlignment="1">
      <alignment horizontal="center" vertical="top" wrapText="1"/>
    </xf>
    <xf numFmtId="0" fontId="44" fillId="0" borderId="4" xfId="0" applyFont="1" applyBorder="1" applyAlignment="1">
      <alignment horizontal="center" vertical="top" wrapText="1"/>
    </xf>
    <xf numFmtId="0" fontId="15" fillId="0" borderId="1" xfId="0" applyFont="1" applyBorder="1" applyAlignment="1">
      <alignment horizontal="center" vertical="top" wrapText="1"/>
    </xf>
    <xf numFmtId="0" fontId="5" fillId="0" borderId="1" xfId="0" applyFont="1" applyBorder="1" applyAlignment="1">
      <alignment horizontal="center" vertical="top" wrapText="1"/>
    </xf>
    <xf numFmtId="0" fontId="15" fillId="0" borderId="1" xfId="0" applyFont="1" applyBorder="1" applyAlignment="1">
      <alignment horizontal="justify" vertical="top" wrapText="1"/>
    </xf>
    <xf numFmtId="167" fontId="15" fillId="0" borderId="1" xfId="9" applyNumberFormat="1" applyFont="1" applyBorder="1" applyAlignment="1">
      <alignment horizontal="left" vertical="top" wrapText="1"/>
    </xf>
    <xf numFmtId="167" fontId="15" fillId="0" borderId="1" xfId="9" applyNumberFormat="1" applyFont="1" applyBorder="1" applyAlignment="1">
      <alignment horizontal="right" vertical="top" wrapText="1"/>
    </xf>
    <xf numFmtId="167" fontId="15" fillId="0" borderId="1" xfId="9" applyNumberFormat="1" applyFont="1" applyBorder="1" applyAlignment="1">
      <alignment horizontal="right" vertical="top"/>
    </xf>
    <xf numFmtId="0" fontId="42" fillId="0" borderId="3" xfId="0" applyFont="1" applyBorder="1" applyAlignment="1">
      <alignment horizontal="center" vertical="center"/>
    </xf>
    <xf numFmtId="0" fontId="42" fillId="0" borderId="6" xfId="0" applyFont="1" applyBorder="1" applyAlignment="1">
      <alignment horizontal="center" vertical="center"/>
    </xf>
    <xf numFmtId="0" fontId="42" fillId="0" borderId="4" xfId="0" applyFont="1" applyBorder="1" applyAlignment="1">
      <alignment horizontal="center" vertical="center"/>
    </xf>
    <xf numFmtId="0" fontId="42" fillId="0" borderId="1" xfId="0" applyFont="1" applyBorder="1" applyAlignment="1">
      <alignment horizontal="center"/>
    </xf>
    <xf numFmtId="0" fontId="42" fillId="0" borderId="3"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4" xfId="0" applyFont="1" applyBorder="1" applyAlignment="1">
      <alignment horizontal="center" vertical="center" wrapText="1"/>
    </xf>
    <xf numFmtId="0" fontId="70" fillId="0" borderId="0" xfId="0" applyFont="1" applyBorder="1" applyAlignment="1">
      <alignment horizontal="center"/>
    </xf>
    <xf numFmtId="0" fontId="25" fillId="0" borderId="0" xfId="0" applyFont="1" applyBorder="1" applyAlignment="1">
      <alignment vertical="center" wrapText="1"/>
    </xf>
    <xf numFmtId="0" fontId="25" fillId="0" borderId="0" xfId="0" applyFont="1" applyBorder="1" applyAlignment="1">
      <alignment horizontal="center" vertical="center" wrapText="1"/>
    </xf>
    <xf numFmtId="166" fontId="25" fillId="0" borderId="0" xfId="9" applyNumberFormat="1" applyFont="1" applyBorder="1" applyAlignment="1">
      <alignment horizontal="center" vertical="center" wrapText="1"/>
    </xf>
    <xf numFmtId="166" fontId="75" fillId="0" borderId="0" xfId="9" applyNumberFormat="1" applyFont="1" applyBorder="1" applyAlignment="1">
      <alignment horizontal="center" vertical="center" wrapText="1"/>
    </xf>
    <xf numFmtId="0" fontId="68" fillId="0" borderId="0" xfId="0" applyFont="1" applyBorder="1" applyAlignment="1">
      <alignment horizontal="center" vertical="center"/>
    </xf>
    <xf numFmtId="0" fontId="75" fillId="0" borderId="0" xfId="0" applyFont="1" applyBorder="1" applyAlignment="1">
      <alignment horizontal="left" vertical="center"/>
    </xf>
    <xf numFmtId="0" fontId="24" fillId="0" borderId="0" xfId="0" applyFont="1" applyBorder="1" applyAlignment="1">
      <alignment horizontal="center" vertical="center"/>
    </xf>
    <xf numFmtId="0" fontId="27" fillId="0" borderId="0" xfId="0" applyFont="1" applyBorder="1" applyAlignment="1">
      <alignment horizontal="center" vertical="center"/>
    </xf>
    <xf numFmtId="0" fontId="27" fillId="0" borderId="0" xfId="0" applyFont="1" applyBorder="1"/>
    <xf numFmtId="166" fontId="24" fillId="0" borderId="0" xfId="9" applyNumberFormat="1" applyFont="1" applyBorder="1" applyAlignment="1">
      <alignment horizontal="center" vertical="center"/>
    </xf>
    <xf numFmtId="166" fontId="5" fillId="5" borderId="0" xfId="9"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68" fillId="8" borderId="0" xfId="0" applyFont="1" applyFill="1" applyBorder="1" applyAlignment="1">
      <alignment horizontal="center" vertical="center"/>
    </xf>
    <xf numFmtId="0" fontId="24" fillId="0" borderId="0" xfId="0" applyFont="1" applyBorder="1" applyAlignment="1">
      <alignment vertical="center"/>
    </xf>
    <xf numFmtId="0" fontId="15"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horizontal="center"/>
    </xf>
    <xf numFmtId="0" fontId="5" fillId="5" borderId="0" xfId="0" applyFont="1" applyFill="1" applyBorder="1" applyAlignment="1">
      <alignment horizontal="center" vertical="top" wrapText="1"/>
    </xf>
    <xf numFmtId="0" fontId="5" fillId="5" borderId="0" xfId="0" applyFont="1" applyFill="1" applyBorder="1" applyAlignment="1">
      <alignment horizontal="center" vertical="center" wrapText="1"/>
    </xf>
    <xf numFmtId="0" fontId="74" fillId="0" borderId="0" xfId="0" applyFont="1" applyBorder="1" applyAlignment="1">
      <alignment horizontal="center" vertical="center" wrapText="1"/>
    </xf>
    <xf numFmtId="0" fontId="73" fillId="0" borderId="0" xfId="0" applyFont="1" applyAlignment="1">
      <alignment horizontal="center" vertical="center"/>
    </xf>
    <xf numFmtId="0" fontId="73" fillId="0" borderId="0" xfId="0" applyFont="1"/>
    <xf numFmtId="0" fontId="73" fillId="0" borderId="0" xfId="0" applyFont="1" applyAlignment="1">
      <alignment horizontal="center" vertical="center" wrapText="1"/>
    </xf>
    <xf numFmtId="0" fontId="73" fillId="0" borderId="9" xfId="0" applyFont="1" applyBorder="1" applyAlignment="1">
      <alignment horizontal="center" vertical="center" wrapText="1"/>
    </xf>
    <xf numFmtId="0" fontId="73" fillId="0" borderId="1" xfId="0" applyFont="1" applyBorder="1" applyAlignment="1">
      <alignment horizontal="center"/>
    </xf>
    <xf numFmtId="0" fontId="73" fillId="0" borderId="0" xfId="0" applyFont="1" applyBorder="1" applyAlignment="1">
      <alignment horizontal="center" vertical="center" wrapText="1"/>
    </xf>
    <xf numFmtId="0" fontId="70" fillId="0" borderId="0" xfId="0" applyFont="1" applyBorder="1" applyAlignment="1">
      <alignment horizontal="center" vertical="center"/>
    </xf>
    <xf numFmtId="0" fontId="31" fillId="0" borderId="0" xfId="0" applyFont="1" applyAlignment="1">
      <alignment horizontal="center"/>
    </xf>
    <xf numFmtId="0" fontId="31" fillId="0" borderId="0" xfId="0" applyFont="1"/>
    <xf numFmtId="0" fontId="27" fillId="0" borderId="3" xfId="0" applyFont="1" applyBorder="1" applyAlignment="1">
      <alignment horizontal="center"/>
    </xf>
    <xf numFmtId="0" fontId="27" fillId="0" borderId="6" xfId="0" applyFont="1" applyBorder="1" applyAlignment="1">
      <alignment horizontal="center"/>
    </xf>
    <xf numFmtId="0" fontId="27" fillId="0" borderId="4" xfId="0" applyFont="1" applyBorder="1" applyAlignment="1">
      <alignment horizontal="center"/>
    </xf>
    <xf numFmtId="0" fontId="27" fillId="11" borderId="3" xfId="0" applyFont="1" applyFill="1" applyBorder="1" applyAlignment="1">
      <alignment horizontal="center" vertical="center" wrapText="1"/>
    </xf>
    <xf numFmtId="0" fontId="27" fillId="11" borderId="6" xfId="0" applyFont="1" applyFill="1" applyBorder="1" applyAlignment="1">
      <alignment horizontal="center" vertical="center" wrapText="1"/>
    </xf>
    <xf numFmtId="0" fontId="27" fillId="11" borderId="4" xfId="0" applyFont="1" applyFill="1" applyBorder="1" applyAlignment="1">
      <alignment horizontal="center" vertical="center" wrapText="1"/>
    </xf>
    <xf numFmtId="0" fontId="27" fillId="11" borderId="6" xfId="0" applyFont="1" applyFill="1" applyBorder="1" applyAlignment="1">
      <alignment horizontal="center" vertical="center"/>
    </xf>
    <xf numFmtId="0" fontId="5" fillId="0" borderId="9" xfId="0" applyFont="1" applyBorder="1" applyAlignment="1">
      <alignment horizontal="center" vertical="top"/>
    </xf>
    <xf numFmtId="166" fontId="39" fillId="0" borderId="2" xfId="9" applyNumberFormat="1" applyFont="1" applyBorder="1" applyAlignment="1">
      <alignment horizontal="left" vertical="center"/>
    </xf>
    <xf numFmtId="166" fontId="39" fillId="0" borderId="5" xfId="9" applyNumberFormat="1" applyFont="1" applyBorder="1" applyAlignment="1">
      <alignment horizontal="left" vertical="center"/>
    </xf>
    <xf numFmtId="166" fontId="39" fillId="0" borderId="7" xfId="9" applyNumberFormat="1" applyFont="1" applyBorder="1" applyAlignment="1">
      <alignment horizontal="left" vertical="center"/>
    </xf>
    <xf numFmtId="0" fontId="42" fillId="0" borderId="1" xfId="0" applyFont="1" applyBorder="1" applyAlignment="1">
      <alignment vertical="center"/>
    </xf>
    <xf numFmtId="166" fontId="39" fillId="0" borderId="1" xfId="9" applyNumberFormat="1" applyFont="1" applyBorder="1" applyAlignment="1">
      <alignment horizontal="left" vertical="center"/>
    </xf>
    <xf numFmtId="166" fontId="42" fillId="0" borderId="1" xfId="9" applyNumberFormat="1" applyFont="1" applyBorder="1" applyAlignment="1">
      <alignment horizontal="left" vertical="center"/>
    </xf>
    <xf numFmtId="0" fontId="17" fillId="0" borderId="3" xfId="0" applyFont="1" applyBorder="1" applyAlignment="1">
      <alignment horizontal="center" vertical="top"/>
    </xf>
    <xf numFmtId="0" fontId="17" fillId="0" borderId="6" xfId="0" applyFont="1" applyBorder="1" applyAlignment="1">
      <alignment horizontal="center" vertical="top"/>
    </xf>
    <xf numFmtId="0" fontId="17" fillId="0" borderId="4" xfId="0" applyFont="1" applyBorder="1" applyAlignment="1">
      <alignment horizontal="center" vertical="top"/>
    </xf>
    <xf numFmtId="0" fontId="42" fillId="0" borderId="9" xfId="0" applyFont="1" applyBorder="1" applyAlignment="1">
      <alignment horizontal="center"/>
    </xf>
    <xf numFmtId="0" fontId="42" fillId="0" borderId="2" xfId="0" applyFont="1" applyBorder="1" applyAlignment="1">
      <alignment vertical="center" wrapText="1"/>
    </xf>
    <xf numFmtId="0" fontId="42" fillId="0" borderId="7" xfId="0" applyFont="1" applyBorder="1" applyAlignment="1">
      <alignment vertical="center" wrapText="1"/>
    </xf>
    <xf numFmtId="0" fontId="42" fillId="0" borderId="2" xfId="0" applyFont="1" applyBorder="1" applyAlignment="1">
      <alignment horizontal="center" vertical="center"/>
    </xf>
    <xf numFmtId="0" fontId="42" fillId="0" borderId="7" xfId="0" applyFont="1" applyBorder="1" applyAlignment="1">
      <alignment horizontal="center" vertical="center"/>
    </xf>
    <xf numFmtId="0" fontId="42" fillId="0" borderId="3" xfId="0" applyFont="1" applyBorder="1" applyAlignment="1">
      <alignment horizontal="center" wrapText="1"/>
    </xf>
    <xf numFmtId="0" fontId="42" fillId="0" borderId="6" xfId="0" applyFont="1" applyBorder="1" applyAlignment="1">
      <alignment horizontal="center"/>
    </xf>
    <xf numFmtId="0" fontId="42" fillId="0" borderId="4" xfId="0" applyFont="1" applyBorder="1" applyAlignment="1">
      <alignment horizontal="center"/>
    </xf>
    <xf numFmtId="0" fontId="9" fillId="0" borderId="0" xfId="0" applyFont="1" applyAlignment="1">
      <alignment horizontal="center" vertical="top"/>
    </xf>
    <xf numFmtId="0" fontId="9" fillId="0" borderId="9" xfId="0" applyFont="1" applyBorder="1" applyAlignment="1">
      <alignment horizontal="center" vertical="top"/>
    </xf>
    <xf numFmtId="0" fontId="5" fillId="0" borderId="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4" xfId="0" applyFont="1" applyBorder="1" applyAlignment="1">
      <alignment horizontal="center" vertical="center" wrapText="1"/>
    </xf>
    <xf numFmtId="0" fontId="0" fillId="0" borderId="9" xfId="0" applyBorder="1" applyAlignment="1">
      <alignment horizontal="center" vertical="center" wrapText="1"/>
    </xf>
    <xf numFmtId="0" fontId="36" fillId="0" borderId="9" xfId="0" applyFont="1" applyBorder="1" applyAlignment="1">
      <alignment horizontal="center" vertical="center" wrapText="1"/>
    </xf>
    <xf numFmtId="0" fontId="36" fillId="10" borderId="3" xfId="0" applyFont="1" applyFill="1" applyBorder="1" applyAlignment="1">
      <alignment horizontal="center"/>
    </xf>
    <xf numFmtId="0" fontId="36" fillId="10" borderId="4" xfId="0" applyFont="1" applyFill="1" applyBorder="1" applyAlignment="1">
      <alignment horizontal="center"/>
    </xf>
    <xf numFmtId="0" fontId="36" fillId="0" borderId="0" xfId="0" applyFont="1" applyAlignment="1">
      <alignment horizontal="center" vertical="center"/>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5" fillId="0" borderId="0" xfId="0" applyFont="1" applyBorder="1" applyAlignment="1">
      <alignment horizontal="center" wrapText="1"/>
    </xf>
    <xf numFmtId="0" fontId="35" fillId="0" borderId="0" xfId="0" applyFont="1" applyBorder="1" applyAlignment="1">
      <alignment horizontal="center"/>
    </xf>
    <xf numFmtId="0" fontId="29" fillId="0" borderId="1" xfId="0" applyFont="1" applyBorder="1" applyAlignment="1">
      <alignment horizontal="center" vertical="center" wrapText="1"/>
    </xf>
    <xf numFmtId="0" fontId="36" fillId="0" borderId="0" xfId="0" applyFont="1" applyAlignment="1">
      <alignment horizontal="center" vertical="center" wrapText="1"/>
    </xf>
    <xf numFmtId="0" fontId="32" fillId="0" borderId="9" xfId="0" applyFont="1" applyBorder="1" applyAlignment="1">
      <alignment horizontal="center" vertical="top" wrapText="1"/>
    </xf>
    <xf numFmtId="0" fontId="32" fillId="10" borderId="3" xfId="0" applyFont="1" applyFill="1" applyBorder="1" applyAlignment="1">
      <alignment horizontal="center" vertical="top"/>
    </xf>
    <xf numFmtId="0" fontId="32" fillId="10" borderId="4" xfId="0" applyFont="1" applyFill="1" applyBorder="1" applyAlignment="1">
      <alignment horizontal="center" vertical="top"/>
    </xf>
    <xf numFmtId="0" fontId="14" fillId="0" borderId="0" xfId="0" applyFont="1" applyBorder="1" applyAlignment="1">
      <alignment horizontal="center"/>
    </xf>
    <xf numFmtId="0" fontId="14" fillId="0" borderId="3" xfId="0" applyFont="1" applyBorder="1" applyAlignment="1">
      <alignment horizontal="center" wrapText="1"/>
    </xf>
    <xf numFmtId="0" fontId="14" fillId="0" borderId="4" xfId="0" applyFont="1" applyBorder="1" applyAlignment="1">
      <alignment horizontal="center" wrapText="1"/>
    </xf>
    <xf numFmtId="0" fontId="22" fillId="0" borderId="2" xfId="0" applyFont="1" applyBorder="1" applyAlignment="1">
      <alignment horizontal="left" vertical="center" wrapText="1"/>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xf numFmtId="0" fontId="22" fillId="0" borderId="2" xfId="0" applyFont="1" applyBorder="1" applyAlignment="1">
      <alignment horizontal="right"/>
    </xf>
    <xf numFmtId="0" fontId="22" fillId="0" borderId="5" xfId="0" applyFont="1" applyBorder="1" applyAlignment="1">
      <alignment horizontal="right"/>
    </xf>
    <xf numFmtId="0" fontId="22" fillId="0" borderId="7" xfId="0" applyFont="1" applyBorder="1" applyAlignment="1">
      <alignment horizontal="right"/>
    </xf>
    <xf numFmtId="0" fontId="22" fillId="0" borderId="10" xfId="0" applyFont="1" applyBorder="1" applyAlignment="1">
      <alignment horizontal="left" vertical="top" wrapText="1"/>
    </xf>
    <xf numFmtId="0" fontId="22" fillId="0" borderId="14" xfId="0" applyFont="1" applyBorder="1" applyAlignment="1">
      <alignment horizontal="left" vertical="top" wrapText="1"/>
    </xf>
    <xf numFmtId="0" fontId="22" fillId="0" borderId="13" xfId="0" applyFont="1" applyBorder="1" applyAlignment="1">
      <alignment horizontal="left" vertical="top" wrapText="1"/>
    </xf>
    <xf numFmtId="0" fontId="22" fillId="0" borderId="2" xfId="0" applyFont="1" applyBorder="1" applyAlignment="1">
      <alignment horizontal="left" vertical="top" wrapText="1"/>
    </xf>
    <xf numFmtId="0" fontId="22" fillId="0" borderId="5" xfId="0" applyFont="1" applyBorder="1" applyAlignment="1">
      <alignment horizontal="left" vertical="top" wrapText="1"/>
    </xf>
    <xf numFmtId="0" fontId="22" fillId="0" borderId="7" xfId="0" applyFont="1" applyBorder="1" applyAlignment="1">
      <alignment horizontal="left" vertical="top" wrapText="1"/>
    </xf>
    <xf numFmtId="0" fontId="14" fillId="0" borderId="3" xfId="0" applyFont="1" applyBorder="1" applyAlignment="1">
      <alignment horizontal="center"/>
    </xf>
    <xf numFmtId="0" fontId="14" fillId="0" borderId="6" xfId="0" applyFont="1" applyBorder="1" applyAlignment="1">
      <alignment horizontal="center"/>
    </xf>
    <xf numFmtId="0" fontId="14" fillId="0" borderId="4" xfId="0" applyFont="1" applyBorder="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35" fillId="0" borderId="1" xfId="0" applyFont="1" applyBorder="1" applyAlignment="1">
      <alignment horizontal="center" vertical="top" wrapText="1"/>
    </xf>
    <xf numFmtId="0" fontId="22" fillId="0" borderId="3" xfId="0" applyFont="1" applyBorder="1" applyAlignment="1">
      <alignment horizontal="center"/>
    </xf>
    <xf numFmtId="0" fontId="22" fillId="0" borderId="6" xfId="0" applyFont="1" applyBorder="1" applyAlignment="1">
      <alignment horizontal="center"/>
    </xf>
    <xf numFmtId="0" fontId="22" fillId="0" borderId="3" xfId="0" applyFont="1" applyBorder="1" applyAlignment="1">
      <alignment horizontal="center" wrapText="1"/>
    </xf>
    <xf numFmtId="0" fontId="22" fillId="0" borderId="6" xfId="0" applyFont="1" applyBorder="1" applyAlignment="1">
      <alignment horizontal="center" wrapText="1"/>
    </xf>
    <xf numFmtId="0" fontId="22" fillId="0" borderId="4" xfId="0" applyFont="1" applyBorder="1" applyAlignment="1">
      <alignment horizontal="center" wrapText="1"/>
    </xf>
    <xf numFmtId="0" fontId="22" fillId="0" borderId="4" xfId="0" applyFont="1" applyBorder="1" applyAlignment="1">
      <alignment horizontal="center"/>
    </xf>
    <xf numFmtId="166" fontId="5" fillId="0" borderId="2" xfId="9" applyNumberFormat="1" applyFont="1" applyFill="1" applyBorder="1" applyAlignment="1">
      <alignment horizontal="center" vertical="center" wrapText="1"/>
    </xf>
    <xf numFmtId="166" fontId="5" fillId="0" borderId="7" xfId="9"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9" fillId="10" borderId="1" xfId="0" applyFont="1" applyFill="1" applyBorder="1" applyAlignment="1">
      <alignment horizontal="center" vertical="center" wrapText="1"/>
    </xf>
    <xf numFmtId="1" fontId="9" fillId="10" borderId="1" xfId="0" applyNumberFormat="1" applyFont="1" applyFill="1" applyBorder="1" applyAlignment="1">
      <alignment horizontal="center" vertical="center" wrapText="1"/>
    </xf>
    <xf numFmtId="0" fontId="27" fillId="0" borderId="0" xfId="0" applyFont="1" applyFill="1" applyAlignment="1">
      <alignment horizontal="center"/>
    </xf>
    <xf numFmtId="0" fontId="49" fillId="0" borderId="1" xfId="0" applyFont="1" applyFill="1" applyBorder="1" applyAlignment="1">
      <alignment horizontal="left" vertical="center" wrapText="1"/>
    </xf>
    <xf numFmtId="0" fontId="9" fillId="10" borderId="1" xfId="0" applyFont="1" applyFill="1" applyBorder="1" applyAlignment="1">
      <alignment horizontal="center" vertical="center"/>
    </xf>
    <xf numFmtId="0" fontId="9" fillId="10" borderId="2"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4" xfId="0" applyFont="1" applyFill="1" applyBorder="1" applyAlignment="1">
      <alignment horizontal="center" vertical="center"/>
    </xf>
    <xf numFmtId="166" fontId="9" fillId="10" borderId="2" xfId="9" applyNumberFormat="1" applyFont="1" applyFill="1" applyBorder="1" applyAlignment="1">
      <alignment horizontal="center" vertical="center" wrapText="1"/>
    </xf>
    <xf numFmtId="166" fontId="9" fillId="10" borderId="7" xfId="9"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xf>
    <xf numFmtId="0" fontId="9" fillId="0" borderId="4" xfId="0" applyFont="1" applyFill="1" applyBorder="1" applyAlignment="1">
      <alignment horizontal="center"/>
    </xf>
    <xf numFmtId="0" fontId="9"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166" fontId="5" fillId="0" borderId="5" xfId="9" applyNumberFormat="1" applyFont="1" applyFill="1" applyBorder="1" applyAlignment="1">
      <alignment horizontal="center" vertical="center" wrapText="1"/>
    </xf>
    <xf numFmtId="0" fontId="16" fillId="0" borderId="9" xfId="0" applyFont="1" applyBorder="1" applyAlignment="1">
      <alignment horizontal="center" vertical="top"/>
    </xf>
    <xf numFmtId="0" fontId="34" fillId="0" borderId="1" xfId="0" applyFont="1" applyBorder="1" applyAlignment="1">
      <alignment vertical="top"/>
    </xf>
    <xf numFmtId="0" fontId="30" fillId="0" borderId="1" xfId="0" applyFont="1" applyBorder="1" applyAlignment="1">
      <alignment vertical="top"/>
    </xf>
    <xf numFmtId="0" fontId="30" fillId="8" borderId="1" xfId="0" applyFont="1" applyFill="1" applyBorder="1" applyAlignment="1">
      <alignment horizontal="center" vertical="top"/>
    </xf>
    <xf numFmtId="0" fontId="30" fillId="0" borderId="2" xfId="0" applyFont="1" applyBorder="1" applyAlignment="1">
      <alignment horizontal="left" vertical="top" wrapText="1"/>
    </xf>
    <xf numFmtId="0" fontId="30" fillId="0" borderId="5" xfId="0" applyFont="1" applyBorder="1" applyAlignment="1">
      <alignment horizontal="left" vertical="top" wrapText="1"/>
    </xf>
    <xf numFmtId="0" fontId="30" fillId="0" borderId="7" xfId="0" applyFont="1" applyBorder="1" applyAlignment="1">
      <alignment horizontal="left" vertical="top" wrapText="1"/>
    </xf>
    <xf numFmtId="0" fontId="30" fillId="0" borderId="1" xfId="0" applyFont="1" applyBorder="1" applyAlignment="1">
      <alignment horizontal="center" vertical="top"/>
    </xf>
    <xf numFmtId="0" fontId="23" fillId="0" borderId="0" xfId="0" applyFont="1" applyAlignment="1">
      <alignment horizontal="center" vertical="center" wrapText="1"/>
    </xf>
    <xf numFmtId="0" fontId="27" fillId="0" borderId="1" xfId="0" applyFont="1" applyBorder="1" applyAlignment="1">
      <alignment horizontal="center" vertical="center" wrapText="1"/>
    </xf>
    <xf numFmtId="0" fontId="14" fillId="0" borderId="0" xfId="0" applyFont="1" applyAlignment="1">
      <alignment horizontal="center" vertical="top" wrapText="1"/>
    </xf>
    <xf numFmtId="0" fontId="14" fillId="0" borderId="9" xfId="0" applyFont="1" applyBorder="1" applyAlignment="1">
      <alignment horizontal="left" vertical="top" wrapText="1"/>
    </xf>
    <xf numFmtId="0" fontId="14" fillId="0" borderId="1" xfId="0" applyFont="1" applyBorder="1" applyAlignment="1">
      <alignment horizontal="center" vertical="top"/>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14" fillId="0" borderId="0" xfId="0" applyFont="1" applyAlignment="1">
      <alignment horizontal="left" vertical="center" wrapText="1"/>
    </xf>
    <xf numFmtId="0" fontId="41" fillId="0" borderId="9" xfId="0" applyFont="1" applyBorder="1" applyAlignment="1">
      <alignment horizontal="center" vertical="center"/>
    </xf>
    <xf numFmtId="0" fontId="41" fillId="0" borderId="1" xfId="0" applyFont="1" applyBorder="1" applyAlignment="1">
      <alignment horizontal="left" vertical="center" wrapText="1"/>
    </xf>
    <xf numFmtId="0" fontId="40" fillId="0" borderId="1" xfId="0" applyFont="1" applyBorder="1" applyAlignment="1">
      <alignment horizontal="center"/>
    </xf>
    <xf numFmtId="0" fontId="43" fillId="10" borderId="3" xfId="0" applyFont="1" applyFill="1" applyBorder="1" applyAlignment="1">
      <alignment horizontal="center" vertical="top"/>
    </xf>
    <xf numFmtId="0" fontId="43" fillId="10" borderId="6" xfId="0" applyFont="1" applyFill="1" applyBorder="1" applyAlignment="1">
      <alignment horizontal="center" vertical="top"/>
    </xf>
    <xf numFmtId="0" fontId="43" fillId="10" borderId="4" xfId="0" applyFont="1" applyFill="1" applyBorder="1" applyAlignment="1">
      <alignment horizontal="center" vertical="top"/>
    </xf>
    <xf numFmtId="0" fontId="22" fillId="0" borderId="9" xfId="0" applyFont="1" applyBorder="1" applyAlignment="1">
      <alignment horizontal="center" vertical="center"/>
    </xf>
    <xf numFmtId="0" fontId="69" fillId="0" borderId="27" xfId="0" applyFont="1" applyBorder="1" applyAlignment="1">
      <alignment vertical="center" wrapText="1"/>
    </xf>
    <xf numFmtId="0" fontId="69" fillId="0" borderId="19" xfId="0" applyFont="1" applyBorder="1" applyAlignment="1">
      <alignment vertical="center" wrapText="1"/>
    </xf>
    <xf numFmtId="17" fontId="69" fillId="0" borderId="27" xfId="0" applyNumberFormat="1" applyFont="1" applyBorder="1" applyAlignment="1">
      <alignment vertical="center" wrapText="1"/>
    </xf>
    <xf numFmtId="17" fontId="69" fillId="0" borderId="19" xfId="0" applyNumberFormat="1" applyFont="1" applyBorder="1" applyAlignment="1">
      <alignment vertical="center" wrapText="1"/>
    </xf>
    <xf numFmtId="14" fontId="69" fillId="0" borderId="27" xfId="0" applyNumberFormat="1" applyFont="1" applyBorder="1" applyAlignment="1">
      <alignment vertical="center" wrapText="1"/>
    </xf>
    <xf numFmtId="14" fontId="69" fillId="0" borderId="19" xfId="0" applyNumberFormat="1" applyFont="1" applyBorder="1" applyAlignment="1">
      <alignment vertical="center" wrapText="1"/>
    </xf>
    <xf numFmtId="0" fontId="71" fillId="0" borderId="27" xfId="0" applyFont="1" applyBorder="1" applyAlignment="1">
      <alignment vertical="center" wrapText="1"/>
    </xf>
    <xf numFmtId="0" fontId="71" fillId="0" borderId="23" xfId="0" applyFont="1" applyBorder="1" applyAlignment="1">
      <alignment vertical="center" wrapText="1"/>
    </xf>
    <xf numFmtId="0" fontId="71" fillId="0" borderId="19" xfId="0" applyFont="1" applyBorder="1" applyAlignment="1">
      <alignment vertical="center" wrapText="1"/>
    </xf>
    <xf numFmtId="0" fontId="69" fillId="0" borderId="16" xfId="0" applyFont="1" applyBorder="1" applyAlignment="1">
      <alignment vertical="center" wrapText="1"/>
    </xf>
    <xf numFmtId="0" fontId="69" fillId="0" borderId="18" xfId="0" applyFont="1" applyBorder="1" applyAlignment="1">
      <alignment vertical="center" wrapText="1"/>
    </xf>
    <xf numFmtId="14" fontId="69" fillId="0" borderId="16" xfId="0" applyNumberFormat="1" applyFont="1" applyBorder="1" applyAlignment="1">
      <alignment vertical="center" wrapText="1"/>
    </xf>
    <xf numFmtId="14" fontId="69" fillId="0" borderId="18" xfId="0" applyNumberFormat="1" applyFont="1" applyBorder="1" applyAlignment="1">
      <alignment vertical="center" wrapText="1"/>
    </xf>
    <xf numFmtId="0" fontId="69" fillId="0" borderId="16" xfId="0" applyFont="1" applyBorder="1" applyAlignment="1">
      <alignment horizontal="left" vertical="center" wrapText="1" indent="2"/>
    </xf>
    <xf numFmtId="0" fontId="69" fillId="0" borderId="18" xfId="0" applyFont="1" applyBorder="1" applyAlignment="1">
      <alignment horizontal="left" vertical="center" wrapText="1" indent="2"/>
    </xf>
    <xf numFmtId="0" fontId="69" fillId="0" borderId="25" xfId="0" applyFont="1" applyBorder="1" applyAlignment="1">
      <alignment horizontal="left" vertical="center" wrapText="1" indent="4"/>
    </xf>
    <xf numFmtId="0" fontId="69" fillId="0" borderId="20" xfId="0" applyFont="1" applyBorder="1" applyAlignment="1">
      <alignment horizontal="left" vertical="center" wrapText="1" indent="4"/>
    </xf>
    <xf numFmtId="0" fontId="69" fillId="0" borderId="24" xfId="0" applyFont="1" applyBorder="1" applyAlignment="1">
      <alignment horizontal="left" vertical="center" wrapText="1" indent="4"/>
    </xf>
    <xf numFmtId="0" fontId="69" fillId="0" borderId="22" xfId="0" applyFont="1" applyBorder="1" applyAlignment="1">
      <alignment horizontal="left" vertical="center" wrapText="1" indent="4"/>
    </xf>
    <xf numFmtId="0" fontId="69" fillId="0" borderId="25" xfId="0" applyFont="1" applyBorder="1" applyAlignment="1">
      <alignment vertical="center" wrapText="1"/>
    </xf>
    <xf numFmtId="0" fontId="69" fillId="0" borderId="20" xfId="0" applyFont="1" applyBorder="1" applyAlignment="1">
      <alignment vertical="center" wrapText="1"/>
    </xf>
    <xf numFmtId="0" fontId="69" fillId="0" borderId="24" xfId="0" applyFont="1" applyBorder="1" applyAlignment="1">
      <alignment vertical="center" wrapText="1"/>
    </xf>
    <xf numFmtId="0" fontId="69" fillId="0" borderId="22" xfId="0" applyFont="1" applyBorder="1" applyAlignment="1">
      <alignment vertical="center" wrapText="1"/>
    </xf>
    <xf numFmtId="0" fontId="69" fillId="0" borderId="27" xfId="0" applyFont="1" applyBorder="1" applyAlignment="1">
      <alignment horizontal="left" vertical="center" wrapText="1" indent="4"/>
    </xf>
    <xf numFmtId="0" fontId="69" fillId="0" borderId="19" xfId="0" applyFont="1" applyBorder="1" applyAlignment="1">
      <alignment horizontal="left" vertical="center" wrapText="1" indent="4"/>
    </xf>
    <xf numFmtId="0" fontId="69" fillId="0" borderId="16" xfId="0" applyFont="1" applyBorder="1" applyAlignment="1">
      <alignment horizontal="center" vertical="center" wrapText="1"/>
    </xf>
    <xf numFmtId="0" fontId="69" fillId="0" borderId="18" xfId="0" applyFont="1" applyBorder="1" applyAlignment="1">
      <alignment horizontal="center" vertical="center" wrapText="1"/>
    </xf>
    <xf numFmtId="0" fontId="69" fillId="0" borderId="17" xfId="0" applyFont="1" applyBorder="1" applyAlignment="1">
      <alignment vertical="center" wrapText="1"/>
    </xf>
    <xf numFmtId="0" fontId="70" fillId="0" borderId="16" xfId="0" applyFont="1" applyBorder="1" applyAlignment="1">
      <alignment vertical="center" wrapText="1"/>
    </xf>
    <xf numFmtId="0" fontId="70" fillId="0" borderId="17" xfId="0" applyFont="1" applyBorder="1" applyAlignment="1">
      <alignment vertical="center" wrapText="1"/>
    </xf>
    <xf numFmtId="0" fontId="70" fillId="0" borderId="18" xfId="0" applyFont="1" applyBorder="1" applyAlignment="1">
      <alignment vertical="center" wrapText="1"/>
    </xf>
    <xf numFmtId="0" fontId="70" fillId="0" borderId="25" xfId="0" applyFont="1" applyBorder="1" applyAlignment="1">
      <alignment vertical="center" wrapText="1"/>
    </xf>
    <xf numFmtId="0" fontId="70" fillId="0" borderId="20" xfId="0" applyFont="1" applyBorder="1" applyAlignment="1">
      <alignment vertical="center" wrapText="1"/>
    </xf>
    <xf numFmtId="0" fontId="70" fillId="0" borderId="26" xfId="0" applyFont="1" applyBorder="1" applyAlignment="1">
      <alignment vertical="center" wrapText="1"/>
    </xf>
    <xf numFmtId="0" fontId="70" fillId="0" borderId="21" xfId="0" applyFont="1" applyBorder="1" applyAlignment="1">
      <alignment vertical="center" wrapText="1"/>
    </xf>
    <xf numFmtId="0" fontId="70" fillId="0" borderId="24" xfId="0" applyFont="1" applyBorder="1" applyAlignment="1">
      <alignment vertical="center" wrapText="1"/>
    </xf>
    <xf numFmtId="0" fontId="70" fillId="0" borderId="22" xfId="0" applyFont="1" applyBorder="1" applyAlignment="1">
      <alignment vertical="center" wrapText="1"/>
    </xf>
    <xf numFmtId="0" fontId="71" fillId="0" borderId="27" xfId="0" applyFont="1" applyBorder="1" applyAlignment="1">
      <alignment horizontal="center" vertical="center" wrapText="1"/>
    </xf>
    <xf numFmtId="0" fontId="71" fillId="0" borderId="23" xfId="0" applyFont="1" applyBorder="1" applyAlignment="1">
      <alignment horizontal="center" vertical="center" wrapText="1"/>
    </xf>
    <xf numFmtId="0" fontId="71" fillId="0" borderId="19" xfId="0" applyFont="1" applyBorder="1" applyAlignment="1">
      <alignment horizontal="center" vertical="center" wrapText="1"/>
    </xf>
    <xf numFmtId="0" fontId="75" fillId="11" borderId="1" xfId="0" applyFont="1" applyFill="1" applyBorder="1" applyAlignment="1">
      <alignment horizontal="left" vertical="center" wrapText="1"/>
    </xf>
    <xf numFmtId="0" fontId="24" fillId="2" borderId="2"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76" fillId="0" borderId="0" xfId="0" applyFont="1" applyBorder="1" applyAlignment="1">
      <alignment horizontal="center" vertical="center" wrapText="1"/>
    </xf>
    <xf numFmtId="0" fontId="25" fillId="10" borderId="2"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75" fillId="10" borderId="2" xfId="0" applyFont="1" applyFill="1" applyBorder="1" applyAlignment="1">
      <alignment horizontal="center" vertical="center" wrapText="1"/>
    </xf>
    <xf numFmtId="0" fontId="75" fillId="10" borderId="7" xfId="0" applyFont="1" applyFill="1" applyBorder="1" applyAlignment="1">
      <alignment horizontal="center" vertical="center" wrapText="1"/>
    </xf>
    <xf numFmtId="167" fontId="75" fillId="10" borderId="1" xfId="9" applyNumberFormat="1" applyFont="1" applyFill="1" applyBorder="1" applyAlignment="1">
      <alignment horizontal="center" vertical="center" wrapText="1"/>
    </xf>
    <xf numFmtId="0" fontId="17" fillId="0" borderId="3" xfId="0" applyFont="1" applyBorder="1" applyAlignment="1">
      <alignment horizontal="center" wrapText="1"/>
    </xf>
    <xf numFmtId="0" fontId="17" fillId="0" borderId="4" xfId="0" applyFont="1" applyBorder="1" applyAlignment="1">
      <alignment horizontal="center" wrapText="1"/>
    </xf>
    <xf numFmtId="0" fontId="75" fillId="0" borderId="0" xfId="0" applyFont="1" applyBorder="1" applyAlignment="1">
      <alignment horizontal="center" vertical="top" wrapText="1"/>
    </xf>
    <xf numFmtId="0" fontId="25" fillId="0" borderId="0" xfId="0" applyFont="1" applyBorder="1" applyAlignment="1">
      <alignment horizontal="center" vertical="top"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Fill="1" applyBorder="1" applyAlignment="1">
      <alignment horizontal="center" wrapText="1"/>
    </xf>
    <xf numFmtId="0" fontId="75" fillId="0" borderId="0" xfId="0" applyFont="1" applyAlignment="1">
      <alignment horizontal="center" wrapText="1"/>
    </xf>
    <xf numFmtId="0" fontId="76" fillId="0" borderId="0" xfId="0" applyFont="1" applyBorder="1" applyAlignment="1">
      <alignment horizontal="center" vertical="top" wrapText="1"/>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42" fillId="0" borderId="0" xfId="0" applyFont="1" applyBorder="1" applyAlignment="1">
      <alignment horizontal="left" vertical="center" wrapText="1"/>
    </xf>
    <xf numFmtId="0" fontId="39" fillId="0" borderId="0" xfId="0" applyFont="1" applyAlignment="1">
      <alignment horizontal="center" vertical="center" wrapText="1"/>
    </xf>
    <xf numFmtId="167" fontId="42" fillId="0" borderId="1" xfId="9" applyNumberFormat="1" applyFont="1" applyBorder="1" applyAlignment="1">
      <alignment horizontal="left" vertical="center" wrapText="1"/>
    </xf>
    <xf numFmtId="167" fontId="39" fillId="0" borderId="1" xfId="9" applyNumberFormat="1" applyFont="1" applyBorder="1" applyAlignment="1">
      <alignment horizontal="left" vertical="center" wrapText="1"/>
    </xf>
    <xf numFmtId="0" fontId="42" fillId="0" borderId="1" xfId="0" applyFont="1" applyBorder="1" applyAlignment="1">
      <alignment horizontal="left" vertical="center" wrapText="1"/>
    </xf>
    <xf numFmtId="166" fontId="39" fillId="0" borderId="1" xfId="9" applyNumberFormat="1" applyFont="1" applyBorder="1" applyAlignment="1">
      <alignment horizontal="right" vertical="center" wrapText="1"/>
    </xf>
    <xf numFmtId="166" fontId="39" fillId="0" borderId="2" xfId="9" applyNumberFormat="1" applyFont="1" applyBorder="1" applyAlignment="1">
      <alignment horizontal="left" vertical="center" wrapText="1"/>
    </xf>
    <xf numFmtId="166" fontId="39" fillId="0" borderId="7" xfId="9" applyNumberFormat="1" applyFont="1" applyBorder="1" applyAlignment="1">
      <alignment horizontal="left" vertical="center" wrapText="1"/>
    </xf>
    <xf numFmtId="167" fontId="39" fillId="0" borderId="2" xfId="9" applyNumberFormat="1" applyFont="1" applyBorder="1" applyAlignment="1">
      <alignment horizontal="left" vertical="center" wrapText="1"/>
    </xf>
    <xf numFmtId="167" fontId="39" fillId="0" borderId="7" xfId="9" applyNumberFormat="1" applyFont="1" applyBorder="1" applyAlignment="1">
      <alignment horizontal="left" vertical="center" wrapText="1"/>
    </xf>
    <xf numFmtId="167" fontId="42" fillId="0" borderId="2" xfId="9" applyNumberFormat="1" applyFont="1" applyBorder="1" applyAlignment="1">
      <alignment horizontal="left" vertical="center" wrapText="1"/>
    </xf>
    <xf numFmtId="167" fontId="42" fillId="0" borderId="7" xfId="9" applyNumberFormat="1" applyFont="1" applyBorder="1" applyAlignment="1">
      <alignment horizontal="left" vertical="center" wrapText="1"/>
    </xf>
    <xf numFmtId="0" fontId="42" fillId="0" borderId="0" xfId="0" applyFont="1" applyBorder="1" applyAlignment="1">
      <alignment horizontal="center" vertical="center" wrapText="1"/>
    </xf>
    <xf numFmtId="167" fontId="42" fillId="0" borderId="2" xfId="9" applyNumberFormat="1" applyFont="1" applyFill="1" applyBorder="1" applyAlignment="1">
      <alignment horizontal="center" vertical="center" wrapText="1"/>
    </xf>
    <xf numFmtId="167" fontId="42" fillId="0" borderId="7" xfId="9" applyNumberFormat="1" applyFont="1" applyFill="1" applyBorder="1" applyAlignment="1">
      <alignment horizontal="center" vertical="center" wrapText="1"/>
    </xf>
    <xf numFmtId="167" fontId="42" fillId="0" borderId="1" xfId="9" applyNumberFormat="1" applyFont="1" applyBorder="1" applyAlignment="1">
      <alignment horizontal="right" vertical="center" wrapText="1"/>
    </xf>
    <xf numFmtId="167" fontId="42" fillId="0" borderId="2" xfId="9" applyNumberFormat="1" applyFont="1" applyBorder="1" applyAlignment="1">
      <alignment horizontal="right" vertical="center" wrapText="1"/>
    </xf>
    <xf numFmtId="167" fontId="42" fillId="0" borderId="5" xfId="9" applyNumberFormat="1" applyFont="1" applyBorder="1" applyAlignment="1">
      <alignment horizontal="right" vertical="center" wrapText="1"/>
    </xf>
    <xf numFmtId="167" fontId="42" fillId="0" borderId="7" xfId="9" applyNumberFormat="1" applyFont="1" applyBorder="1" applyAlignment="1">
      <alignment horizontal="right" vertical="center" wrapText="1"/>
    </xf>
    <xf numFmtId="167" fontId="39" fillId="0" borderId="1" xfId="9" applyNumberFormat="1" applyFont="1" applyBorder="1" applyAlignment="1">
      <alignment horizontal="right" vertical="center" wrapText="1"/>
    </xf>
    <xf numFmtId="0" fontId="42" fillId="0" borderId="2" xfId="0" applyFont="1" applyBorder="1" applyAlignment="1">
      <alignment horizontal="left" vertical="center" wrapText="1"/>
    </xf>
    <xf numFmtId="0" fontId="42" fillId="0" borderId="7" xfId="0" applyFont="1" applyBorder="1" applyAlignment="1">
      <alignment horizontal="left" vertical="center" wrapText="1"/>
    </xf>
    <xf numFmtId="0" fontId="42" fillId="0" borderId="6" xfId="0" applyFont="1" applyBorder="1" applyAlignment="1">
      <alignment horizontal="center" vertical="center" wrapText="1"/>
    </xf>
    <xf numFmtId="0" fontId="42" fillId="0" borderId="4" xfId="0" applyFont="1" applyBorder="1" applyAlignment="1">
      <alignment horizontal="center" vertical="center" wrapText="1"/>
    </xf>
    <xf numFmtId="167" fontId="42" fillId="0" borderId="2" xfId="9" applyNumberFormat="1" applyFont="1" applyFill="1" applyBorder="1" applyAlignment="1">
      <alignment horizontal="right" vertical="center" wrapText="1"/>
    </xf>
    <xf numFmtId="167" fontId="42" fillId="0" borderId="7" xfId="9" applyNumberFormat="1" applyFont="1" applyFill="1" applyBorder="1" applyAlignment="1">
      <alignment horizontal="right" vertical="center" wrapText="1"/>
    </xf>
    <xf numFmtId="0" fontId="25" fillId="2" borderId="2"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75" fillId="11" borderId="3" xfId="0" applyFont="1" applyFill="1" applyBorder="1" applyAlignment="1">
      <alignment horizontal="left" vertical="center" wrapText="1"/>
    </xf>
    <xf numFmtId="0" fontId="75" fillId="11" borderId="6" xfId="0" applyFont="1" applyFill="1" applyBorder="1" applyAlignment="1">
      <alignment horizontal="left" vertical="center" wrapText="1"/>
    </xf>
    <xf numFmtId="0" fontId="75" fillId="11" borderId="4" xfId="0" applyFont="1" applyFill="1" applyBorder="1" applyAlignment="1">
      <alignment horizontal="left"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2" borderId="5" xfId="0" applyFont="1" applyFill="1" applyBorder="1" applyAlignment="1">
      <alignment horizontal="center" vertical="center" wrapText="1"/>
    </xf>
    <xf numFmtId="0" fontId="68" fillId="11" borderId="3" xfId="0" applyFont="1" applyFill="1" applyBorder="1" applyAlignment="1">
      <alignment horizontal="left" vertical="center" wrapText="1"/>
    </xf>
    <xf numFmtId="0" fontId="68" fillId="11" borderId="6" xfId="0" applyFont="1" applyFill="1" applyBorder="1" applyAlignment="1">
      <alignment horizontal="left" vertical="center" wrapText="1"/>
    </xf>
    <xf numFmtId="0" fontId="68" fillId="11" borderId="4" xfId="0" applyFont="1" applyFill="1" applyBorder="1" applyAlignment="1">
      <alignment horizontal="left" vertical="center" wrapText="1"/>
    </xf>
    <xf numFmtId="0" fontId="75" fillId="0" borderId="1" xfId="0" applyFont="1" applyBorder="1" applyAlignment="1">
      <alignment horizontal="left"/>
    </xf>
    <xf numFmtId="0" fontId="25" fillId="0" borderId="1" xfId="0" applyFont="1" applyBorder="1" applyAlignment="1">
      <alignment horizontal="left"/>
    </xf>
    <xf numFmtId="0" fontId="75" fillId="0" borderId="0" xfId="0" applyFont="1" applyAlignment="1">
      <alignment horizontal="center" vertical="center" wrapText="1"/>
    </xf>
    <xf numFmtId="0" fontId="75" fillId="0" borderId="1" xfId="0" applyFont="1" applyFill="1" applyBorder="1" applyAlignment="1">
      <alignment horizontal="center" vertical="center"/>
    </xf>
    <xf numFmtId="0" fontId="75" fillId="0" borderId="1" xfId="0" applyFont="1" applyFill="1" applyBorder="1" applyAlignment="1">
      <alignment horizontal="center" vertical="center" wrapText="1"/>
    </xf>
    <xf numFmtId="167" fontId="75" fillId="0" borderId="1" xfId="9" applyNumberFormat="1" applyFont="1" applyBorder="1" applyAlignment="1">
      <alignment horizontal="center" vertical="center"/>
    </xf>
    <xf numFmtId="166" fontId="44" fillId="0" borderId="1" xfId="9" applyNumberFormat="1" applyFont="1" applyBorder="1" applyAlignment="1">
      <alignment horizontal="center" vertical="center" textRotation="90" wrapText="1"/>
    </xf>
    <xf numFmtId="167" fontId="44" fillId="0" borderId="1" xfId="9" applyNumberFormat="1" applyFont="1" applyBorder="1" applyAlignment="1">
      <alignment horizontal="center" vertical="center" textRotation="90" wrapText="1"/>
    </xf>
    <xf numFmtId="167" fontId="17" fillId="0" borderId="1" xfId="9" applyNumberFormat="1" applyFont="1" applyBorder="1" applyAlignment="1">
      <alignment horizontal="center" vertical="center" textRotation="90" wrapText="1"/>
    </xf>
    <xf numFmtId="167" fontId="17" fillId="0" borderId="1" xfId="9" applyNumberFormat="1" applyFont="1" applyBorder="1" applyAlignment="1">
      <alignment horizontal="center" vertical="center" wrapText="1"/>
    </xf>
    <xf numFmtId="0" fontId="17" fillId="0" borderId="0" xfId="0" applyFont="1" applyAlignment="1">
      <alignment horizontal="center" vertical="center" wrapText="1"/>
    </xf>
    <xf numFmtId="0" fontId="17" fillId="0" borderId="1" xfId="0" applyFont="1" applyBorder="1" applyAlignment="1">
      <alignment vertical="center" wrapText="1"/>
    </xf>
    <xf numFmtId="0" fontId="44" fillId="0" borderId="1" xfId="0" applyFont="1" applyBorder="1" applyAlignment="1">
      <alignment horizontal="center" vertical="center" wrapText="1"/>
    </xf>
    <xf numFmtId="0" fontId="44" fillId="0" borderId="1" xfId="0" applyFont="1" applyBorder="1" applyAlignment="1">
      <alignment horizontal="center" vertical="center" textRotation="90" wrapText="1"/>
    </xf>
    <xf numFmtId="0" fontId="75" fillId="0" borderId="1" xfId="0" applyFont="1" applyFill="1" applyBorder="1" applyAlignment="1">
      <alignment horizontal="center"/>
    </xf>
    <xf numFmtId="0" fontId="75" fillId="0" borderId="0" xfId="0" applyFont="1" applyBorder="1" applyAlignment="1">
      <alignment horizontal="center" vertical="center" wrapText="1"/>
    </xf>
    <xf numFmtId="167" fontId="25" fillId="0" borderId="2" xfId="9" applyNumberFormat="1" applyFont="1" applyBorder="1" applyAlignment="1">
      <alignment horizontal="center" vertical="center" wrapText="1"/>
    </xf>
    <xf numFmtId="167" fontId="25" fillId="0" borderId="7" xfId="9" applyNumberFormat="1" applyFont="1" applyBorder="1" applyAlignment="1">
      <alignment horizontal="center" vertical="center" wrapText="1"/>
    </xf>
    <xf numFmtId="0" fontId="75" fillId="0" borderId="3" xfId="0" applyFont="1" applyBorder="1" applyAlignment="1">
      <alignment horizontal="center" vertical="center"/>
    </xf>
    <xf numFmtId="0" fontId="75" fillId="0" borderId="6" xfId="0" applyFont="1" applyBorder="1" applyAlignment="1">
      <alignment horizontal="center" vertical="center"/>
    </xf>
    <xf numFmtId="0" fontId="75" fillId="0" borderId="4" xfId="0" applyFont="1" applyBorder="1" applyAlignment="1">
      <alignment horizontal="center" vertical="center"/>
    </xf>
    <xf numFmtId="0" fontId="76" fillId="0" borderId="0" xfId="0" applyFont="1" applyAlignment="1">
      <alignment horizontal="center" vertical="center" wrapText="1"/>
    </xf>
    <xf numFmtId="167" fontId="25" fillId="0" borderId="3" xfId="9" applyNumberFormat="1" applyFont="1" applyBorder="1" applyAlignment="1">
      <alignment horizontal="center" vertical="center" wrapText="1"/>
    </xf>
    <xf numFmtId="167" fontId="25" fillId="0" borderId="4" xfId="9" applyNumberFormat="1" applyFont="1" applyBorder="1" applyAlignment="1">
      <alignment horizontal="center" vertical="center" wrapText="1"/>
    </xf>
    <xf numFmtId="0" fontId="75" fillId="0" borderId="3" xfId="0" applyFont="1" applyBorder="1" applyAlignment="1">
      <alignment horizontal="center" vertical="center" wrapText="1"/>
    </xf>
    <xf numFmtId="0" fontId="75" fillId="0" borderId="6" xfId="0" applyFont="1" applyBorder="1" applyAlignment="1">
      <alignment horizontal="center" vertical="center" wrapText="1"/>
    </xf>
    <xf numFmtId="0" fontId="75" fillId="0" borderId="4" xfId="0" applyFont="1" applyBorder="1" applyAlignment="1">
      <alignment horizontal="center" vertical="center" wrapText="1"/>
    </xf>
    <xf numFmtId="0" fontId="25" fillId="0" borderId="11" xfId="0" applyFont="1" applyBorder="1" applyAlignment="1">
      <alignment horizontal="left" vertical="center" wrapText="1"/>
    </xf>
    <xf numFmtId="0" fontId="25" fillId="0" borderId="0" xfId="0" applyFont="1" applyBorder="1" applyAlignment="1">
      <alignment horizontal="left" vertical="top" wrapText="1"/>
    </xf>
    <xf numFmtId="0" fontId="25" fillId="0" borderId="0" xfId="0" applyFont="1" applyBorder="1" applyAlignment="1">
      <alignment horizontal="left" vertical="center" wrapText="1"/>
    </xf>
    <xf numFmtId="0" fontId="79" fillId="0" borderId="0" xfId="0" applyFont="1" applyBorder="1" applyAlignment="1">
      <alignment horizontal="right" vertical="center"/>
    </xf>
    <xf numFmtId="0" fontId="76" fillId="0" borderId="0" xfId="0" applyFont="1" applyBorder="1" applyAlignment="1">
      <alignment horizontal="left" vertical="center"/>
    </xf>
    <xf numFmtId="0" fontId="79" fillId="0" borderId="9" xfId="0" applyFont="1" applyBorder="1" applyAlignment="1">
      <alignment horizontal="right" vertical="center"/>
    </xf>
    <xf numFmtId="43" fontId="76" fillId="0" borderId="0" xfId="9" applyFont="1" applyAlignment="1">
      <alignment horizontal="center" vertical="center" wrapText="1"/>
    </xf>
    <xf numFmtId="0" fontId="76" fillId="0" borderId="0" xfId="0" applyFont="1" applyAlignment="1">
      <alignment horizontal="left" vertical="center"/>
    </xf>
    <xf numFmtId="0" fontId="50" fillId="0" borderId="0" xfId="0" applyFont="1" applyBorder="1" applyAlignment="1">
      <alignment horizontal="right" vertical="center"/>
    </xf>
    <xf numFmtId="0" fontId="24" fillId="2" borderId="3"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68" fillId="2" borderId="1" xfId="0" applyFont="1" applyFill="1" applyBorder="1" applyAlignment="1">
      <alignment horizontal="center" vertical="center" wrapText="1"/>
    </xf>
    <xf numFmtId="0" fontId="76"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5" fillId="2" borderId="2" xfId="0" applyFont="1" applyFill="1" applyBorder="1" applyAlignment="1">
      <alignment vertical="center" wrapText="1"/>
    </xf>
    <xf numFmtId="0" fontId="25" fillId="2" borderId="7" xfId="0" applyFont="1" applyFill="1" applyBorder="1" applyAlignment="1">
      <alignment vertical="center" wrapText="1"/>
    </xf>
    <xf numFmtId="167" fontId="25" fillId="2" borderId="2" xfId="9" applyNumberFormat="1" applyFont="1" applyFill="1" applyBorder="1" applyAlignment="1">
      <alignment horizontal="right" vertical="center" wrapText="1"/>
    </xf>
    <xf numFmtId="167" fontId="25" fillId="2" borderId="7" xfId="9" applyNumberFormat="1" applyFont="1" applyFill="1" applyBorder="1" applyAlignment="1">
      <alignment horizontal="right" vertical="center" wrapText="1"/>
    </xf>
    <xf numFmtId="0" fontId="75" fillId="2" borderId="0" xfId="0" applyFont="1" applyFill="1" applyBorder="1" applyAlignment="1">
      <alignment horizontal="center" vertical="center" wrapText="1"/>
    </xf>
    <xf numFmtId="0" fontId="79" fillId="0" borderId="0" xfId="0" applyFont="1" applyBorder="1" applyAlignment="1">
      <alignment horizontal="right" wrapText="1"/>
    </xf>
    <xf numFmtId="0" fontId="24" fillId="2" borderId="1" xfId="0" applyFont="1" applyFill="1" applyBorder="1" applyAlignment="1">
      <alignment horizontal="center" vertical="center" wrapText="1"/>
    </xf>
    <xf numFmtId="0" fontId="75" fillId="0" borderId="0" xfId="0" applyFont="1" applyBorder="1" applyAlignment="1">
      <alignment horizontal="center"/>
    </xf>
    <xf numFmtId="0" fontId="25" fillId="2" borderId="1" xfId="0" applyFont="1" applyFill="1" applyBorder="1" applyAlignment="1">
      <alignment vertical="center" wrapText="1"/>
    </xf>
    <xf numFmtId="0" fontId="25" fillId="2" borderId="1" xfId="0" applyFont="1" applyFill="1" applyBorder="1" applyAlignment="1">
      <alignment horizontal="center" vertical="center" wrapText="1"/>
    </xf>
    <xf numFmtId="0" fontId="83" fillId="0" borderId="0" xfId="0" applyFont="1" applyAlignment="1">
      <alignment horizontal="center"/>
    </xf>
    <xf numFmtId="0" fontId="17" fillId="0" borderId="9"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xf>
    <xf numFmtId="0" fontId="17" fillId="11" borderId="3" xfId="0" applyFont="1" applyFill="1" applyBorder="1" applyAlignment="1">
      <alignment horizontal="center" vertical="center"/>
    </xf>
    <xf numFmtId="0" fontId="17" fillId="11" borderId="6" xfId="0" applyFont="1" applyFill="1" applyBorder="1" applyAlignment="1">
      <alignment horizontal="center" vertical="center"/>
    </xf>
    <xf numFmtId="0" fontId="17" fillId="11" borderId="4" xfId="0" applyFont="1" applyFill="1" applyBorder="1" applyAlignment="1">
      <alignment horizontal="center" vertical="center"/>
    </xf>
    <xf numFmtId="22" fontId="39" fillId="0" borderId="0" xfId="0" applyNumberFormat="1" applyFont="1" applyFill="1" applyAlignment="1">
      <alignment horizontal="center"/>
    </xf>
    <xf numFmtId="0" fontId="39" fillId="0" borderId="0" xfId="0" applyFont="1" applyFill="1" applyAlignment="1">
      <alignment horizontal="center"/>
    </xf>
    <xf numFmtId="0" fontId="75" fillId="0" borderId="0" xfId="0" applyFont="1" applyFill="1" applyBorder="1" applyAlignment="1">
      <alignment horizontal="center"/>
    </xf>
    <xf numFmtId="0" fontId="25" fillId="0" borderId="3"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7" fillId="0" borderId="2" xfId="0" applyFont="1" applyFill="1" applyBorder="1" applyAlignment="1">
      <alignment horizontal="left" vertical="top" wrapText="1"/>
    </xf>
    <xf numFmtId="0" fontId="27" fillId="0" borderId="7" xfId="0" applyFont="1" applyFill="1" applyBorder="1" applyAlignment="1">
      <alignment horizontal="left" vertical="top" wrapText="1"/>
    </xf>
    <xf numFmtId="0" fontId="75" fillId="0" borderId="3" xfId="0" applyFont="1" applyBorder="1" applyAlignment="1">
      <alignment horizontal="center" wrapText="1"/>
    </xf>
    <xf numFmtId="0" fontId="75" fillId="0" borderId="6" xfId="0" applyFont="1" applyBorder="1" applyAlignment="1">
      <alignment horizontal="center" wrapText="1"/>
    </xf>
    <xf numFmtId="0" fontId="75" fillId="0" borderId="4" xfId="0" applyFont="1" applyBorder="1" applyAlignment="1">
      <alignment horizontal="center" wrapText="1"/>
    </xf>
    <xf numFmtId="0" fontId="75" fillId="0" borderId="9" xfId="0" applyFont="1" applyBorder="1" applyAlignment="1">
      <alignment horizontal="center"/>
    </xf>
    <xf numFmtId="0" fontId="23" fillId="0" borderId="0" xfId="0" applyFont="1" applyAlignment="1">
      <alignment horizontal="center"/>
    </xf>
    <xf numFmtId="0" fontId="23" fillId="0" borderId="9" xfId="0" applyFont="1" applyBorder="1" applyAlignment="1">
      <alignment horizontal="center" wrapText="1"/>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3" fillId="0" borderId="4" xfId="0" applyFont="1" applyBorder="1" applyAlignment="1">
      <alignment horizontal="center" vertical="center"/>
    </xf>
    <xf numFmtId="0" fontId="19" fillId="0" borderId="3"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1"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xf>
    <xf numFmtId="0" fontId="98" fillId="0" borderId="1" xfId="0" applyFont="1" applyFill="1" applyBorder="1" applyAlignment="1">
      <alignment horizontal="left"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right" vertical="center" wrapText="1"/>
    </xf>
    <xf numFmtId="3"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right" vertical="center" wrapText="1"/>
    </xf>
    <xf numFmtId="3" fontId="19" fillId="0" borderId="1" xfId="0" applyNumberFormat="1" applyFont="1" applyFill="1" applyBorder="1" applyAlignment="1">
      <alignment horizontal="right" vertical="center" wrapText="1"/>
    </xf>
    <xf numFmtId="0" fontId="20" fillId="0" borderId="3" xfId="0" applyFont="1" applyFill="1" applyBorder="1" applyAlignment="1">
      <alignment horizontal="left" vertical="center" wrapText="1"/>
    </xf>
    <xf numFmtId="0" fontId="19" fillId="0" borderId="3" xfId="0" applyFont="1" applyFill="1" applyBorder="1" applyAlignment="1">
      <alignment horizontal="right" vertical="center" wrapText="1"/>
    </xf>
    <xf numFmtId="0" fontId="19" fillId="0" borderId="4" xfId="0" applyFont="1" applyFill="1" applyBorder="1" applyAlignment="1">
      <alignment horizontal="right" vertical="center" wrapText="1"/>
    </xf>
    <xf numFmtId="0" fontId="99" fillId="0" borderId="3" xfId="0" applyFont="1" applyFill="1" applyBorder="1" applyAlignment="1">
      <alignment horizontal="left" vertical="center" wrapText="1"/>
    </xf>
    <xf numFmtId="0" fontId="99" fillId="0" borderId="6" xfId="0" applyFont="1" applyFill="1" applyBorder="1" applyAlignment="1">
      <alignment horizontal="left" vertical="center" wrapText="1"/>
    </xf>
    <xf numFmtId="0" fontId="99" fillId="0" borderId="4" xfId="0" applyFont="1" applyFill="1" applyBorder="1" applyAlignment="1">
      <alignment horizontal="left" vertical="center" wrapText="1"/>
    </xf>
    <xf numFmtId="0" fontId="20" fillId="0" borderId="0" xfId="0" applyFont="1" applyFill="1" applyAlignment="1">
      <alignment horizontal="left"/>
    </xf>
    <xf numFmtId="0" fontId="19" fillId="0" borderId="6" xfId="0" applyFont="1" applyFill="1" applyBorder="1" applyAlignment="1">
      <alignment horizontal="right" vertical="center" wrapText="1"/>
    </xf>
    <xf numFmtId="0" fontId="19" fillId="0" borderId="4" xfId="0" applyFont="1" applyFill="1" applyBorder="1" applyAlignment="1">
      <alignment vertical="center" wrapText="1"/>
    </xf>
    <xf numFmtId="0" fontId="20" fillId="5" borderId="1" xfId="0" applyFont="1" applyFill="1" applyBorder="1" applyAlignment="1">
      <alignment horizontal="left" vertical="center" wrapText="1"/>
    </xf>
    <xf numFmtId="0" fontId="20" fillId="5" borderId="1" xfId="0" applyFont="1" applyFill="1" applyBorder="1" applyAlignment="1">
      <alignment horizontal="center" vertical="center" wrapText="1"/>
    </xf>
    <xf numFmtId="3" fontId="20" fillId="5" borderId="1" xfId="0" applyNumberFormat="1" applyFont="1" applyFill="1" applyBorder="1" applyAlignment="1">
      <alignment horizontal="right" vertical="center" wrapText="1"/>
    </xf>
    <xf numFmtId="0" fontId="20" fillId="0" borderId="3" xfId="0" applyFont="1" applyFill="1" applyBorder="1" applyAlignment="1">
      <alignment horizontal="center" vertical="center" wrapText="1"/>
    </xf>
    <xf numFmtId="0" fontId="20" fillId="5" borderId="1" xfId="0" applyFont="1" applyFill="1" applyBorder="1" applyAlignment="1">
      <alignment horizontal="center" wrapText="1"/>
    </xf>
    <xf numFmtId="0" fontId="20" fillId="5" borderId="1" xfId="0" applyFont="1" applyFill="1" applyBorder="1" applyAlignment="1">
      <alignment horizontal="left" wrapText="1"/>
    </xf>
    <xf numFmtId="3" fontId="20" fillId="5" borderId="1" xfId="0" applyNumberFormat="1" applyFont="1" applyFill="1" applyBorder="1" applyAlignment="1">
      <alignment horizontal="right" wrapText="1"/>
    </xf>
    <xf numFmtId="0" fontId="19" fillId="5" borderId="3" xfId="0" applyFont="1" applyFill="1" applyBorder="1" applyAlignment="1">
      <alignment horizontal="right" vertical="center" wrapText="1"/>
    </xf>
    <xf numFmtId="0" fontId="19" fillId="5" borderId="4" xfId="0" applyFont="1" applyFill="1" applyBorder="1" applyAlignment="1">
      <alignment horizontal="right" vertical="center" wrapText="1"/>
    </xf>
    <xf numFmtId="0" fontId="19" fillId="5" borderId="1" xfId="0" applyFont="1" applyFill="1" applyBorder="1" applyAlignment="1">
      <alignment horizontal="left" vertical="center" wrapText="1"/>
    </xf>
    <xf numFmtId="3" fontId="19" fillId="5" borderId="1" xfId="0" applyNumberFormat="1" applyFont="1" applyFill="1" applyBorder="1" applyAlignment="1">
      <alignment horizontal="right" vertical="center" wrapText="1"/>
    </xf>
    <xf numFmtId="0" fontId="75" fillId="0" borderId="1" xfId="0" applyFont="1" applyFill="1" applyBorder="1" applyAlignment="1">
      <alignment horizontal="left" vertical="center"/>
    </xf>
    <xf numFmtId="0" fontId="20" fillId="2" borderId="1" xfId="0" applyFont="1" applyFill="1" applyBorder="1" applyAlignment="1">
      <alignment horizontal="left"/>
    </xf>
    <xf numFmtId="0" fontId="20" fillId="2" borderId="1" xfId="0" applyFont="1" applyFill="1" applyBorder="1" applyAlignment="1">
      <alignment horizontal="left" vertical="center"/>
    </xf>
    <xf numFmtId="0" fontId="20" fillId="2" borderId="1" xfId="0" applyFont="1" applyFill="1" applyBorder="1" applyAlignment="1">
      <alignment horizontal="center" vertical="center"/>
    </xf>
    <xf numFmtId="3" fontId="20" fillId="2" borderId="1" xfId="0" applyNumberFormat="1" applyFont="1" applyFill="1" applyBorder="1" applyAlignment="1">
      <alignment horizontal="right" vertical="center"/>
    </xf>
    <xf numFmtId="0" fontId="25" fillId="2" borderId="0" xfId="0" applyFont="1" applyFill="1" applyAlignment="1">
      <alignment horizontal="left"/>
    </xf>
    <xf numFmtId="0" fontId="20" fillId="0" borderId="1" xfId="0" applyFont="1" applyFill="1" applyBorder="1" applyAlignment="1">
      <alignment horizontal="left"/>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3" fontId="20" fillId="0" borderId="1" xfId="0" applyNumberFormat="1" applyFont="1" applyFill="1" applyBorder="1" applyAlignment="1">
      <alignment horizontal="right" vertical="center"/>
    </xf>
    <xf numFmtId="0" fontId="19" fillId="0" borderId="1" xfId="0" applyFont="1" applyFill="1" applyBorder="1" applyAlignment="1">
      <alignment horizontal="right"/>
    </xf>
    <xf numFmtId="0" fontId="19" fillId="0" borderId="1" xfId="0" applyFont="1" applyFill="1" applyBorder="1" applyAlignment="1">
      <alignment horizontal="center" vertical="center"/>
    </xf>
    <xf numFmtId="3" fontId="19" fillId="0" borderId="1" xfId="0" applyNumberFormat="1" applyFont="1" applyFill="1" applyBorder="1" applyAlignment="1">
      <alignment horizontal="right" vertical="center"/>
    </xf>
    <xf numFmtId="0" fontId="87" fillId="0" borderId="1" xfId="0" applyFont="1" applyFill="1" applyBorder="1" applyAlignment="1">
      <alignment horizontal="left"/>
    </xf>
    <xf numFmtId="0" fontId="87" fillId="0" borderId="0" xfId="0" applyFont="1" applyFill="1" applyBorder="1" applyAlignment="1">
      <alignment horizontal="center"/>
    </xf>
    <xf numFmtId="0" fontId="25" fillId="0" borderId="0" xfId="0" applyFont="1" applyFill="1" applyBorder="1" applyAlignment="1"/>
    <xf numFmtId="0" fontId="20" fillId="0" borderId="0" xfId="0" applyFont="1" applyFill="1" applyBorder="1" applyAlignment="1">
      <alignment horizontal="left" vertical="center"/>
    </xf>
    <xf numFmtId="1" fontId="19" fillId="0" borderId="0" xfId="0" applyNumberFormat="1" applyFont="1" applyFill="1" applyBorder="1" applyAlignment="1">
      <alignment horizontal="right" vertical="center"/>
    </xf>
    <xf numFmtId="0" fontId="19" fillId="0" borderId="3" xfId="0" applyFont="1" applyFill="1" applyBorder="1" applyAlignment="1">
      <alignment horizontal="left"/>
    </xf>
    <xf numFmtId="0" fontId="19" fillId="0" borderId="6" xfId="0" applyFont="1" applyFill="1" applyBorder="1" applyAlignment="1">
      <alignment horizontal="left"/>
    </xf>
    <xf numFmtId="0" fontId="19" fillId="0" borderId="4" xfId="0" applyFont="1" applyFill="1" applyBorder="1" applyAlignment="1">
      <alignment horizontal="left"/>
    </xf>
    <xf numFmtId="0" fontId="20" fillId="0" borderId="1" xfId="0" applyFont="1" applyFill="1" applyBorder="1" applyAlignment="1">
      <alignment horizontal="center"/>
    </xf>
    <xf numFmtId="1" fontId="20" fillId="0" borderId="1" xfId="0" applyNumberFormat="1" applyFont="1" applyFill="1" applyBorder="1" applyAlignment="1">
      <alignment horizontal="right" vertical="center"/>
    </xf>
    <xf numFmtId="0" fontId="87" fillId="0" borderId="1" xfId="0" applyFont="1" applyFill="1" applyBorder="1" applyAlignment="1">
      <alignment horizontal="center"/>
    </xf>
    <xf numFmtId="0" fontId="19" fillId="0" borderId="1" xfId="0" applyFont="1" applyFill="1" applyBorder="1" applyAlignment="1">
      <alignment horizontal="left"/>
    </xf>
    <xf numFmtId="1" fontId="20" fillId="0" borderId="1" xfId="0" applyNumberFormat="1" applyFont="1" applyFill="1" applyBorder="1" applyAlignment="1">
      <alignment horizontal="right" vertical="center" wrapText="1"/>
    </xf>
    <xf numFmtId="0" fontId="87" fillId="0" borderId="1" xfId="0" applyFont="1" applyFill="1" applyBorder="1" applyAlignment="1">
      <alignment horizontal="center" vertical="center" wrapText="1"/>
    </xf>
    <xf numFmtId="0" fontId="19" fillId="0" borderId="1" xfId="0" applyFont="1" applyFill="1" applyBorder="1" applyAlignment="1">
      <alignment horizontal="center"/>
    </xf>
    <xf numFmtId="0" fontId="19" fillId="0" borderId="1" xfId="0" applyFont="1" applyFill="1" applyBorder="1" applyAlignment="1">
      <alignment horizontal="left"/>
    </xf>
    <xf numFmtId="0" fontId="25" fillId="0" borderId="1" xfId="0" applyFont="1" applyFill="1" applyBorder="1" applyAlignment="1">
      <alignment horizontal="center"/>
    </xf>
    <xf numFmtId="0" fontId="75" fillId="0" borderId="1" xfId="0" applyFont="1" applyFill="1" applyBorder="1" applyAlignment="1">
      <alignment horizontal="left" vertical="center" wrapText="1"/>
    </xf>
    <xf numFmtId="0" fontId="99"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1" fontId="19" fillId="0" borderId="1" xfId="0" applyNumberFormat="1" applyFont="1" applyFill="1" applyBorder="1" applyAlignment="1">
      <alignment horizontal="left" vertical="center" wrapText="1"/>
    </xf>
    <xf numFmtId="0" fontId="19" fillId="0" borderId="1" xfId="0" applyFont="1" applyFill="1" applyBorder="1" applyAlignment="1"/>
    <xf numFmtId="3" fontId="19" fillId="0" borderId="1" xfId="0" applyNumberFormat="1" applyFont="1" applyFill="1" applyBorder="1" applyAlignment="1">
      <alignment horizontal="right"/>
    </xf>
    <xf numFmtId="0" fontId="75" fillId="0" borderId="3" xfId="0" applyFont="1" applyFill="1" applyBorder="1" applyAlignment="1">
      <alignment horizontal="left"/>
    </xf>
    <xf numFmtId="0" fontId="75" fillId="0" borderId="6" xfId="0" applyFont="1" applyFill="1" applyBorder="1" applyAlignment="1">
      <alignment horizontal="left"/>
    </xf>
    <xf numFmtId="0" fontId="75" fillId="0" borderId="4" xfId="0" applyFont="1" applyFill="1" applyBorder="1" applyAlignment="1">
      <alignment horizontal="left"/>
    </xf>
    <xf numFmtId="0" fontId="25" fillId="0" borderId="0" xfId="0" applyFont="1" applyFill="1" applyAlignment="1">
      <alignment horizontal="center" vertical="center"/>
    </xf>
    <xf numFmtId="0" fontId="19" fillId="0" borderId="4" xfId="0" applyFont="1" applyFill="1" applyBorder="1" applyAlignment="1">
      <alignment horizontal="left" vertical="center" wrapText="1"/>
    </xf>
    <xf numFmtId="1" fontId="20" fillId="0" borderId="1" xfId="0" applyNumberFormat="1" applyFont="1" applyFill="1" applyBorder="1" applyAlignment="1">
      <alignment horizontal="left" vertical="center" wrapText="1"/>
    </xf>
    <xf numFmtId="0" fontId="25" fillId="0" borderId="3"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1" xfId="0" applyFont="1" applyFill="1" applyBorder="1" applyAlignment="1">
      <alignment horizontal="left" wrapText="1"/>
    </xf>
    <xf numFmtId="0" fontId="79" fillId="0" borderId="1" xfId="0" applyFont="1" applyFill="1" applyBorder="1" applyAlignment="1">
      <alignment horizontal="left"/>
    </xf>
    <xf numFmtId="3" fontId="75" fillId="0" borderId="1" xfId="0" applyNumberFormat="1" applyFont="1" applyFill="1" applyBorder="1" applyAlignment="1">
      <alignment horizontal="right"/>
    </xf>
    <xf numFmtId="0" fontId="25" fillId="0" borderId="0" xfId="0" applyFont="1" applyFill="1" applyAlignment="1">
      <alignment horizontal="right"/>
    </xf>
    <xf numFmtId="1" fontId="25" fillId="0" borderId="0" xfId="0" applyNumberFormat="1" applyFont="1" applyFill="1" applyAlignment="1">
      <alignment horizontal="right"/>
    </xf>
    <xf numFmtId="0" fontId="25" fillId="0" borderId="0" xfId="0" applyFont="1" applyFill="1" applyAlignment="1">
      <alignment horizontal="center"/>
    </xf>
    <xf numFmtId="22" fontId="25" fillId="0" borderId="0" xfId="0" applyNumberFormat="1" applyFont="1" applyFill="1" applyAlignment="1">
      <alignment horizontal="center"/>
    </xf>
    <xf numFmtId="0" fontId="87" fillId="5" borderId="0" xfId="0" applyFont="1" applyFill="1" applyAlignment="1">
      <alignment horizontal="center" wrapText="1"/>
    </xf>
    <xf numFmtId="0" fontId="42" fillId="0" borderId="2" xfId="0" applyFont="1" applyFill="1" applyBorder="1" applyAlignment="1">
      <alignment horizontal="center" vertical="center" wrapText="1"/>
    </xf>
    <xf numFmtId="0" fontId="42" fillId="0" borderId="7" xfId="0" applyFont="1" applyFill="1" applyBorder="1" applyAlignment="1">
      <alignment horizontal="center" vertical="center" wrapText="1"/>
    </xf>
    <xf numFmtId="166" fontId="39" fillId="0" borderId="1" xfId="9" applyNumberFormat="1" applyFont="1" applyBorder="1" applyAlignment="1">
      <alignment vertical="center" wrapText="1"/>
    </xf>
    <xf numFmtId="166" fontId="42" fillId="0" borderId="1" xfId="9" applyNumberFormat="1" applyFont="1" applyBorder="1" applyAlignment="1">
      <alignment vertical="center" wrapText="1"/>
    </xf>
    <xf numFmtId="0" fontId="42" fillId="0" borderId="5" xfId="0" applyFont="1" applyBorder="1" applyAlignment="1">
      <alignment horizontal="left" vertical="center" wrapText="1"/>
    </xf>
    <xf numFmtId="166" fontId="42" fillId="0" borderId="2" xfId="9" applyNumberFormat="1" applyFont="1" applyBorder="1" applyAlignment="1">
      <alignment vertical="center" wrapText="1"/>
    </xf>
    <xf numFmtId="166" fontId="39" fillId="0" borderId="0" xfId="9" applyNumberFormat="1" applyFont="1" applyBorder="1" applyAlignment="1">
      <alignment horizontal="left" vertical="center" wrapText="1"/>
    </xf>
    <xf numFmtId="0" fontId="27" fillId="0" borderId="0" xfId="0" applyFont="1" applyAlignment="1">
      <alignment horizontal="center" vertical="center" wrapText="1"/>
    </xf>
    <xf numFmtId="0" fontId="27" fillId="0" borderId="0" xfId="0" applyFont="1" applyAlignment="1">
      <alignment horizontal="left" vertical="center" wrapText="1"/>
    </xf>
    <xf numFmtId="166" fontId="39" fillId="0" borderId="0" xfId="0" applyNumberFormat="1" applyFont="1" applyAlignment="1">
      <alignment horizontal="left" vertical="center" wrapText="1"/>
    </xf>
    <xf numFmtId="0" fontId="27" fillId="0" borderId="2" xfId="0" applyFont="1" applyBorder="1" applyAlignment="1">
      <alignment vertical="center"/>
    </xf>
    <xf numFmtId="0" fontId="25" fillId="0" borderId="0" xfId="0" applyFont="1" applyAlignment="1">
      <alignment horizontal="left" vertical="center"/>
    </xf>
    <xf numFmtId="0" fontId="27" fillId="0" borderId="0" xfId="0" applyFont="1" applyAlignment="1">
      <alignment horizontal="center" vertical="center" wrapText="1"/>
    </xf>
    <xf numFmtId="0" fontId="27" fillId="0" borderId="0" xfId="0" applyNumberFormat="1" applyFont="1" applyAlignment="1">
      <alignment horizontal="center" vertical="center" wrapText="1"/>
    </xf>
    <xf numFmtId="0" fontId="17" fillId="0" borderId="0" xfId="0" applyFont="1" applyAlignment="1">
      <alignment horizontal="left" vertical="center" wrapText="1"/>
    </xf>
    <xf numFmtId="0" fontId="17" fillId="0" borderId="0" xfId="0" applyNumberFormat="1" applyFont="1" applyAlignment="1">
      <alignment horizontal="center" vertical="center" wrapText="1"/>
    </xf>
    <xf numFmtId="0" fontId="17" fillId="0" borderId="1" xfId="0" applyFont="1" applyBorder="1" applyAlignment="1">
      <alignment horizontal="left"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NumberFormat="1" applyFont="1" applyBorder="1" applyAlignment="1">
      <alignment horizontal="center" vertical="center" wrapText="1"/>
    </xf>
    <xf numFmtId="0" fontId="17" fillId="0" borderId="1" xfId="0" applyFont="1" applyBorder="1" applyAlignment="1">
      <alignment horizontal="right" vertical="center" wrapText="1" inden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 xfId="0" applyNumberFormat="1" applyFont="1" applyBorder="1" applyAlignment="1">
      <alignment horizontal="center" vertical="center" wrapText="1"/>
    </xf>
    <xf numFmtId="41" fontId="27" fillId="0" borderId="1" xfId="0" applyNumberFormat="1" applyFont="1" applyBorder="1" applyAlignment="1">
      <alignment horizontal="left" vertical="center" wrapText="1"/>
    </xf>
    <xf numFmtId="0" fontId="27" fillId="0" borderId="1" xfId="0" applyFont="1" applyBorder="1" applyAlignment="1">
      <alignment horizontal="left" vertical="center" wrapText="1"/>
    </xf>
    <xf numFmtId="41" fontId="17" fillId="0" borderId="1" xfId="0" applyNumberFormat="1" applyFont="1" applyBorder="1" applyAlignment="1">
      <alignment horizontal="left" vertical="center" wrapText="1"/>
    </xf>
    <xf numFmtId="0" fontId="75" fillId="0" borderId="1" xfId="0" applyFont="1" applyBorder="1" applyAlignment="1">
      <alignment horizontal="center" vertical="center"/>
    </xf>
    <xf numFmtId="3" fontId="25" fillId="0" borderId="1" xfId="0" applyNumberFormat="1" applyFont="1" applyBorder="1" applyAlignment="1">
      <alignment horizontal="center" vertical="center"/>
    </xf>
  </cellXfs>
  <cellStyles count="8644">
    <cellStyle name="Comma" xfId="9" builtinId="3"/>
    <cellStyle name="Comma [0]" xfId="8640" builtinId="6"/>
    <cellStyle name="Comma 12 2" xfId="29"/>
    <cellStyle name="Comma 2" xfId="1"/>
    <cellStyle name="Comma 2 10" xfId="30"/>
    <cellStyle name="Comma 2 11" xfId="31"/>
    <cellStyle name="Comma 2 12" xfId="32"/>
    <cellStyle name="Comma 2 13" xfId="33"/>
    <cellStyle name="Comma 2 14" xfId="34"/>
    <cellStyle name="Comma 2 15" xfId="35"/>
    <cellStyle name="Comma 2 2" xfId="2"/>
    <cellStyle name="Comma 2 2 10" xfId="36"/>
    <cellStyle name="Comma 2 2 10 2" xfId="37"/>
    <cellStyle name="Comma 2 2 10 2 2" xfId="38"/>
    <cellStyle name="Comma 2 2 10 2 3" xfId="39"/>
    <cellStyle name="Comma 2 2 10 2 4" xfId="40"/>
    <cellStyle name="Comma 2 2 10 2 5" xfId="41"/>
    <cellStyle name="Comma 2 2 10 3" xfId="42"/>
    <cellStyle name="Comma 2 2 10 3 2" xfId="43"/>
    <cellStyle name="Comma 2 2 10 3 3" xfId="44"/>
    <cellStyle name="Comma 2 2 10 3 4" xfId="45"/>
    <cellStyle name="Comma 2 2 10 3 5" xfId="46"/>
    <cellStyle name="Comma 2 2 10 4" xfId="47"/>
    <cellStyle name="Comma 2 2 10 4 2" xfId="48"/>
    <cellStyle name="Comma 2 2 10 4 3" xfId="49"/>
    <cellStyle name="Comma 2 2 10 4 4" xfId="50"/>
    <cellStyle name="Comma 2 2 10 4 5" xfId="51"/>
    <cellStyle name="Comma 2 2 10 5" xfId="52"/>
    <cellStyle name="Comma 2 2 10 6" xfId="53"/>
    <cellStyle name="Comma 2 2 10 7" xfId="54"/>
    <cellStyle name="Comma 2 2 10 8" xfId="55"/>
    <cellStyle name="Comma 2 2 11" xfId="56"/>
    <cellStyle name="Comma 2 2 11 2" xfId="57"/>
    <cellStyle name="Comma 2 2 11 2 2" xfId="58"/>
    <cellStyle name="Comma 2 2 11 2 3" xfId="59"/>
    <cellStyle name="Comma 2 2 11 2 4" xfId="60"/>
    <cellStyle name="Comma 2 2 11 2 5" xfId="61"/>
    <cellStyle name="Comma 2 2 11 3" xfId="62"/>
    <cellStyle name="Comma 2 2 11 3 2" xfId="63"/>
    <cellStyle name="Comma 2 2 11 3 3" xfId="64"/>
    <cellStyle name="Comma 2 2 11 3 4" xfId="65"/>
    <cellStyle name="Comma 2 2 11 3 5" xfId="66"/>
    <cellStyle name="Comma 2 2 11 4" xfId="67"/>
    <cellStyle name="Comma 2 2 11 4 2" xfId="68"/>
    <cellStyle name="Comma 2 2 11 4 3" xfId="69"/>
    <cellStyle name="Comma 2 2 11 4 4" xfId="70"/>
    <cellStyle name="Comma 2 2 11 4 5" xfId="71"/>
    <cellStyle name="Comma 2 2 11 5" xfId="72"/>
    <cellStyle name="Comma 2 2 11 6" xfId="73"/>
    <cellStyle name="Comma 2 2 11 7" xfId="74"/>
    <cellStyle name="Comma 2 2 11 8" xfId="75"/>
    <cellStyle name="Comma 2 2 12" xfId="76"/>
    <cellStyle name="Comma 2 2 12 2" xfId="77"/>
    <cellStyle name="Comma 2 2 12 3" xfId="78"/>
    <cellStyle name="Comma 2 2 12 4" xfId="79"/>
    <cellStyle name="Comma 2 2 12 5" xfId="80"/>
    <cellStyle name="Comma 2 2 13" xfId="81"/>
    <cellStyle name="Comma 2 2 13 2" xfId="82"/>
    <cellStyle name="Comma 2 2 13 3" xfId="83"/>
    <cellStyle name="Comma 2 2 13 4" xfId="84"/>
    <cellStyle name="Comma 2 2 13 5" xfId="85"/>
    <cellStyle name="Comma 2 2 14" xfId="86"/>
    <cellStyle name="Comma 2 2 14 2" xfId="87"/>
    <cellStyle name="Comma 2 2 14 3" xfId="88"/>
    <cellStyle name="Comma 2 2 14 4" xfId="89"/>
    <cellStyle name="Comma 2 2 14 5" xfId="90"/>
    <cellStyle name="Comma 2 2 15" xfId="91"/>
    <cellStyle name="Comma 2 2 16" xfId="92"/>
    <cellStyle name="Comma 2 2 17" xfId="93"/>
    <cellStyle name="Comma 2 2 18" xfId="94"/>
    <cellStyle name="Comma 2 2 19" xfId="95"/>
    <cellStyle name="Comma 2 2 2" xfId="96"/>
    <cellStyle name="Comma 2 2 2 10" xfId="97"/>
    <cellStyle name="Comma 2 2 2 11" xfId="98"/>
    <cellStyle name="Comma 2 2 2 12" xfId="99"/>
    <cellStyle name="Comma 2 2 2 13" xfId="100"/>
    <cellStyle name="Comma 2 2 2 14" xfId="101"/>
    <cellStyle name="Comma 2 2 2 15" xfId="102"/>
    <cellStyle name="Comma 2 2 2 16" xfId="103"/>
    <cellStyle name="Comma 2 2 2 17" xfId="104"/>
    <cellStyle name="Comma 2 2 2 18" xfId="105"/>
    <cellStyle name="Comma 2 2 2 19" xfId="106"/>
    <cellStyle name="Comma 2 2 2 2" xfId="107"/>
    <cellStyle name="Comma 2 2 2 2 2" xfId="108"/>
    <cellStyle name="Comma 2 2 2 2 2 10" xfId="109"/>
    <cellStyle name="Comma 2 2 2 2 2 11" xfId="110"/>
    <cellStyle name="Comma 2 2 2 2 2 2" xfId="111"/>
    <cellStyle name="Comma 2 2 2 2 2 2 2" xfId="112"/>
    <cellStyle name="Comma 2 2 2 2 2 2 2 2" xfId="113"/>
    <cellStyle name="Comma 2 2 2 2 2 2 2 3" xfId="114"/>
    <cellStyle name="Comma 2 2 2 2 2 2 2 4" xfId="115"/>
    <cellStyle name="Comma 2 2 2 2 2 2 2 5" xfId="116"/>
    <cellStyle name="Comma 2 2 2 2 2 2 3" xfId="117"/>
    <cellStyle name="Comma 2 2 2 2 2 2 4" xfId="118"/>
    <cellStyle name="Comma 2 2 2 2 2 2 5" xfId="119"/>
    <cellStyle name="Comma 2 2 2 2 2 3" xfId="120"/>
    <cellStyle name="Comma 2 2 2 2 2 4" xfId="121"/>
    <cellStyle name="Comma 2 2 2 2 2 5" xfId="122"/>
    <cellStyle name="Comma 2 2 2 2 2 6" xfId="123"/>
    <cellStyle name="Comma 2 2 2 2 2 7" xfId="124"/>
    <cellStyle name="Comma 2 2 2 2 2 8" xfId="125"/>
    <cellStyle name="Comma 2 2 2 2 2 9" xfId="126"/>
    <cellStyle name="Comma 2 2 2 2 3" xfId="127"/>
    <cellStyle name="Comma 2 2 2 2 3 2" xfId="128"/>
    <cellStyle name="Comma 2 2 2 2 3 3" xfId="129"/>
    <cellStyle name="Comma 2 2 2 2 3 4" xfId="130"/>
    <cellStyle name="Comma 2 2 2 2 3 5" xfId="131"/>
    <cellStyle name="Comma 2 2 2 2 4" xfId="132"/>
    <cellStyle name="Comma 2 2 2 2 4 2" xfId="133"/>
    <cellStyle name="Comma 2 2 2 2 4 3" xfId="134"/>
    <cellStyle name="Comma 2 2 2 2 4 4" xfId="135"/>
    <cellStyle name="Comma 2 2 2 2 4 5" xfId="136"/>
    <cellStyle name="Comma 2 2 2 2 5" xfId="137"/>
    <cellStyle name="Comma 2 2 2 2 6" xfId="138"/>
    <cellStyle name="Comma 2 2 2 2 7" xfId="139"/>
    <cellStyle name="Comma 2 2 2 20" xfId="140"/>
    <cellStyle name="Comma 2 2 2 21" xfId="141"/>
    <cellStyle name="Comma 2 2 2 3" xfId="142"/>
    <cellStyle name="Comma 2 2 2 4" xfId="143"/>
    <cellStyle name="Comma 2 2 2 5" xfId="144"/>
    <cellStyle name="Comma 2 2 2 6" xfId="145"/>
    <cellStyle name="Comma 2 2 2 7" xfId="146"/>
    <cellStyle name="Comma 2 2 2 8" xfId="147"/>
    <cellStyle name="Comma 2 2 2 9" xfId="148"/>
    <cellStyle name="Comma 2 2 20" xfId="149"/>
    <cellStyle name="Comma 2 2 3" xfId="150"/>
    <cellStyle name="Comma 2 2 3 10" xfId="151"/>
    <cellStyle name="Comma 2 2 3 11" xfId="152"/>
    <cellStyle name="Comma 2 2 3 11 2" xfId="153"/>
    <cellStyle name="Comma 2 2 3 11 3" xfId="154"/>
    <cellStyle name="Comma 2 2 3 11 4" xfId="155"/>
    <cellStyle name="Comma 2 2 3 11 5" xfId="156"/>
    <cellStyle name="Comma 2 2 3 12" xfId="157"/>
    <cellStyle name="Comma 2 2 3 12 2" xfId="158"/>
    <cellStyle name="Comma 2 2 3 12 3" xfId="159"/>
    <cellStyle name="Comma 2 2 3 12 4" xfId="160"/>
    <cellStyle name="Comma 2 2 3 12 5" xfId="161"/>
    <cellStyle name="Comma 2 2 3 13" xfId="162"/>
    <cellStyle name="Comma 2 2 3 13 2" xfId="163"/>
    <cellStyle name="Comma 2 2 3 13 3" xfId="164"/>
    <cellStyle name="Comma 2 2 3 13 4" xfId="165"/>
    <cellStyle name="Comma 2 2 3 13 5" xfId="166"/>
    <cellStyle name="Comma 2 2 3 14" xfId="167"/>
    <cellStyle name="Comma 2 2 3 15" xfId="168"/>
    <cellStyle name="Comma 2 2 3 16" xfId="169"/>
    <cellStyle name="Comma 2 2 3 17" xfId="170"/>
    <cellStyle name="Comma 2 2 3 2" xfId="171"/>
    <cellStyle name="Comma 2 2 3 3" xfId="172"/>
    <cellStyle name="Comma 2 2 3 4" xfId="173"/>
    <cellStyle name="Comma 2 2 3 5" xfId="174"/>
    <cellStyle name="Comma 2 2 3 6" xfId="175"/>
    <cellStyle name="Comma 2 2 3 7" xfId="176"/>
    <cellStyle name="Comma 2 2 3 8" xfId="177"/>
    <cellStyle name="Comma 2 2 3 9" xfId="178"/>
    <cellStyle name="Comma 2 2 4" xfId="179"/>
    <cellStyle name="Comma 2 2 4 2" xfId="180"/>
    <cellStyle name="Comma 2 2 4 2 2" xfId="181"/>
    <cellStyle name="Comma 2 2 4 2 3" xfId="182"/>
    <cellStyle name="Comma 2 2 4 2 4" xfId="183"/>
    <cellStyle name="Comma 2 2 4 2 5" xfId="184"/>
    <cellStyle name="Comma 2 2 4 3" xfId="185"/>
    <cellStyle name="Comma 2 2 4 3 2" xfId="186"/>
    <cellStyle name="Comma 2 2 4 3 3" xfId="187"/>
    <cellStyle name="Comma 2 2 4 3 4" xfId="188"/>
    <cellStyle name="Comma 2 2 4 3 5" xfId="189"/>
    <cellStyle name="Comma 2 2 4 4" xfId="190"/>
    <cellStyle name="Comma 2 2 4 4 2" xfId="191"/>
    <cellStyle name="Comma 2 2 4 4 3" xfId="192"/>
    <cellStyle name="Comma 2 2 4 4 4" xfId="193"/>
    <cellStyle name="Comma 2 2 4 4 5" xfId="194"/>
    <cellStyle name="Comma 2 2 4 5" xfId="195"/>
    <cellStyle name="Comma 2 2 4 6" xfId="196"/>
    <cellStyle name="Comma 2 2 4 7" xfId="197"/>
    <cellStyle name="Comma 2 2 4 8" xfId="198"/>
    <cellStyle name="Comma 2 2 5" xfId="199"/>
    <cellStyle name="Comma 2 2 5 2" xfId="200"/>
    <cellStyle name="Comma 2 2 5 2 2" xfId="201"/>
    <cellStyle name="Comma 2 2 5 2 3" xfId="202"/>
    <cellStyle name="Comma 2 2 5 2 4" xfId="203"/>
    <cellStyle name="Comma 2 2 5 2 5" xfId="204"/>
    <cellStyle name="Comma 2 2 5 3" xfId="205"/>
    <cellStyle name="Comma 2 2 5 3 2" xfId="206"/>
    <cellStyle name="Comma 2 2 5 3 3" xfId="207"/>
    <cellStyle name="Comma 2 2 5 3 4" xfId="208"/>
    <cellStyle name="Comma 2 2 5 3 5" xfId="209"/>
    <cellStyle name="Comma 2 2 5 4" xfId="210"/>
    <cellStyle name="Comma 2 2 5 4 2" xfId="211"/>
    <cellStyle name="Comma 2 2 5 4 3" xfId="212"/>
    <cellStyle name="Comma 2 2 5 4 4" xfId="213"/>
    <cellStyle name="Comma 2 2 5 4 5" xfId="214"/>
    <cellStyle name="Comma 2 2 5 5" xfId="215"/>
    <cellStyle name="Comma 2 2 5 6" xfId="216"/>
    <cellStyle name="Comma 2 2 5 7" xfId="217"/>
    <cellStyle name="Comma 2 2 5 8" xfId="218"/>
    <cellStyle name="Comma 2 2 6" xfId="219"/>
    <cellStyle name="Comma 2 2 6 2" xfId="220"/>
    <cellStyle name="Comma 2 2 6 2 2" xfId="221"/>
    <cellStyle name="Comma 2 2 6 2 3" xfId="222"/>
    <cellStyle name="Comma 2 2 6 2 4" xfId="223"/>
    <cellStyle name="Comma 2 2 6 2 5" xfId="224"/>
    <cellStyle name="Comma 2 2 6 3" xfId="225"/>
    <cellStyle name="Comma 2 2 6 3 2" xfId="226"/>
    <cellStyle name="Comma 2 2 6 3 3" xfId="227"/>
    <cellStyle name="Comma 2 2 6 3 4" xfId="228"/>
    <cellStyle name="Comma 2 2 6 3 5" xfId="229"/>
    <cellStyle name="Comma 2 2 6 4" xfId="230"/>
    <cellStyle name="Comma 2 2 6 4 2" xfId="231"/>
    <cellStyle name="Comma 2 2 6 4 3" xfId="232"/>
    <cellStyle name="Comma 2 2 6 4 4" xfId="233"/>
    <cellStyle name="Comma 2 2 6 4 5" xfId="234"/>
    <cellStyle name="Comma 2 2 6 5" xfId="235"/>
    <cellStyle name="Comma 2 2 6 6" xfId="236"/>
    <cellStyle name="Comma 2 2 6 7" xfId="237"/>
    <cellStyle name="Comma 2 2 6 8" xfId="238"/>
    <cellStyle name="Comma 2 2 7" xfId="239"/>
    <cellStyle name="Comma 2 2 7 2" xfId="240"/>
    <cellStyle name="Comma 2 2 7 2 2" xfId="241"/>
    <cellStyle name="Comma 2 2 7 2 3" xfId="242"/>
    <cellStyle name="Comma 2 2 7 2 4" xfId="243"/>
    <cellStyle name="Comma 2 2 7 2 5" xfId="244"/>
    <cellStyle name="Comma 2 2 7 3" xfId="245"/>
    <cellStyle name="Comma 2 2 7 3 2" xfId="246"/>
    <cellStyle name="Comma 2 2 7 3 3" xfId="247"/>
    <cellStyle name="Comma 2 2 7 3 4" xfId="248"/>
    <cellStyle name="Comma 2 2 7 3 5" xfId="249"/>
    <cellStyle name="Comma 2 2 7 4" xfId="250"/>
    <cellStyle name="Comma 2 2 7 4 2" xfId="251"/>
    <cellStyle name="Comma 2 2 7 4 3" xfId="252"/>
    <cellStyle name="Comma 2 2 7 4 4" xfId="253"/>
    <cellStyle name="Comma 2 2 7 4 5" xfId="254"/>
    <cellStyle name="Comma 2 2 7 5" xfId="255"/>
    <cellStyle name="Comma 2 2 7 6" xfId="256"/>
    <cellStyle name="Comma 2 2 7 7" xfId="257"/>
    <cellStyle name="Comma 2 2 7 8" xfId="258"/>
    <cellStyle name="Comma 2 2 8" xfId="259"/>
    <cellStyle name="Comma 2 2 8 2" xfId="260"/>
    <cellStyle name="Comma 2 2 8 2 2" xfId="261"/>
    <cellStyle name="Comma 2 2 8 2 3" xfId="262"/>
    <cellStyle name="Comma 2 2 8 2 4" xfId="263"/>
    <cellStyle name="Comma 2 2 8 2 5" xfId="264"/>
    <cellStyle name="Comma 2 2 8 3" xfId="265"/>
    <cellStyle name="Comma 2 2 8 3 2" xfId="266"/>
    <cellStyle name="Comma 2 2 8 3 3" xfId="267"/>
    <cellStyle name="Comma 2 2 8 3 4" xfId="268"/>
    <cellStyle name="Comma 2 2 8 3 5" xfId="269"/>
    <cellStyle name="Comma 2 2 8 4" xfId="270"/>
    <cellStyle name="Comma 2 2 8 4 2" xfId="271"/>
    <cellStyle name="Comma 2 2 8 4 3" xfId="272"/>
    <cellStyle name="Comma 2 2 8 4 4" xfId="273"/>
    <cellStyle name="Comma 2 2 8 4 5" xfId="274"/>
    <cellStyle name="Comma 2 2 8 5" xfId="275"/>
    <cellStyle name="Comma 2 2 8 6" xfId="276"/>
    <cellStyle name="Comma 2 2 8 7" xfId="277"/>
    <cellStyle name="Comma 2 2 8 8" xfId="278"/>
    <cellStyle name="Comma 2 2 9" xfId="279"/>
    <cellStyle name="Comma 2 2 9 2" xfId="280"/>
    <cellStyle name="Comma 2 2 9 2 2" xfId="281"/>
    <cellStyle name="Comma 2 2 9 2 3" xfId="282"/>
    <cellStyle name="Comma 2 2 9 2 4" xfId="283"/>
    <cellStyle name="Comma 2 2 9 2 5" xfId="284"/>
    <cellStyle name="Comma 2 2 9 3" xfId="285"/>
    <cellStyle name="Comma 2 2 9 3 2" xfId="286"/>
    <cellStyle name="Comma 2 2 9 3 3" xfId="287"/>
    <cellStyle name="Comma 2 2 9 3 4" xfId="288"/>
    <cellStyle name="Comma 2 2 9 3 5" xfId="289"/>
    <cellStyle name="Comma 2 2 9 4" xfId="290"/>
    <cellStyle name="Comma 2 2 9 4 2" xfId="291"/>
    <cellStyle name="Comma 2 2 9 4 3" xfId="292"/>
    <cellStyle name="Comma 2 2 9 4 4" xfId="293"/>
    <cellStyle name="Comma 2 2 9 4 5" xfId="294"/>
    <cellStyle name="Comma 2 2 9 5" xfId="295"/>
    <cellStyle name="Comma 2 2 9 6" xfId="296"/>
    <cellStyle name="Comma 2 2 9 7" xfId="297"/>
    <cellStyle name="Comma 2 2 9 8" xfId="298"/>
    <cellStyle name="Comma 2 3" xfId="299"/>
    <cellStyle name="Comma 2 3 10" xfId="300"/>
    <cellStyle name="Comma 2 3 11" xfId="301"/>
    <cellStyle name="Comma 2 3 12" xfId="302"/>
    <cellStyle name="Comma 2 3 2" xfId="303"/>
    <cellStyle name="Comma 2 3 2 2" xfId="304"/>
    <cellStyle name="Comma 2 3 2 2 2" xfId="305"/>
    <cellStyle name="Comma 2 3 2 2 3" xfId="306"/>
    <cellStyle name="Comma 2 3 2 2 4" xfId="307"/>
    <cellStyle name="Comma 2 3 2 2 5" xfId="308"/>
    <cellStyle name="Comma 2 3 2 3" xfId="309"/>
    <cellStyle name="Comma 2 3 2 3 2" xfId="310"/>
    <cellStyle name="Comma 2 3 2 3 3" xfId="311"/>
    <cellStyle name="Comma 2 3 2 3 4" xfId="312"/>
    <cellStyle name="Comma 2 3 2 3 5" xfId="313"/>
    <cellStyle name="Comma 2 3 2 4" xfId="314"/>
    <cellStyle name="Comma 2 3 2 4 2" xfId="315"/>
    <cellStyle name="Comma 2 3 2 4 3" xfId="316"/>
    <cellStyle name="Comma 2 3 2 4 4" xfId="317"/>
    <cellStyle name="Comma 2 3 2 4 5" xfId="318"/>
    <cellStyle name="Comma 2 3 2 5" xfId="319"/>
    <cellStyle name="Comma 2 3 2 6" xfId="320"/>
    <cellStyle name="Comma 2 3 2 7" xfId="321"/>
    <cellStyle name="Comma 2 3 2 8" xfId="322"/>
    <cellStyle name="Comma 2 3 3" xfId="323"/>
    <cellStyle name="Comma 2 3 3 2" xfId="324"/>
    <cellStyle name="Comma 2 3 3 2 2" xfId="325"/>
    <cellStyle name="Comma 2 3 3 2 3" xfId="326"/>
    <cellStyle name="Comma 2 3 3 2 4" xfId="327"/>
    <cellStyle name="Comma 2 3 3 2 5" xfId="328"/>
    <cellStyle name="Comma 2 3 3 3" xfId="329"/>
    <cellStyle name="Comma 2 3 3 3 2" xfId="330"/>
    <cellStyle name="Comma 2 3 3 3 3" xfId="331"/>
    <cellStyle name="Comma 2 3 3 3 4" xfId="332"/>
    <cellStyle name="Comma 2 3 3 3 5" xfId="333"/>
    <cellStyle name="Comma 2 3 3 4" xfId="334"/>
    <cellStyle name="Comma 2 3 3 4 2" xfId="335"/>
    <cellStyle name="Comma 2 3 3 4 3" xfId="336"/>
    <cellStyle name="Comma 2 3 3 4 4" xfId="337"/>
    <cellStyle name="Comma 2 3 3 4 5" xfId="338"/>
    <cellStyle name="Comma 2 3 3 5" xfId="339"/>
    <cellStyle name="Comma 2 3 3 6" xfId="340"/>
    <cellStyle name="Comma 2 3 3 7" xfId="341"/>
    <cellStyle name="Comma 2 3 3 8" xfId="342"/>
    <cellStyle name="Comma 2 3 4" xfId="343"/>
    <cellStyle name="Comma 2 3 4 2" xfId="344"/>
    <cellStyle name="Comma 2 3 4 2 2" xfId="345"/>
    <cellStyle name="Comma 2 3 4 2 3" xfId="346"/>
    <cellStyle name="Comma 2 3 4 2 4" xfId="347"/>
    <cellStyle name="Comma 2 3 4 2 5" xfId="348"/>
    <cellStyle name="Comma 2 3 4 3" xfId="349"/>
    <cellStyle name="Comma 2 3 4 3 2" xfId="350"/>
    <cellStyle name="Comma 2 3 4 3 3" xfId="351"/>
    <cellStyle name="Comma 2 3 4 3 4" xfId="352"/>
    <cellStyle name="Comma 2 3 4 3 5" xfId="353"/>
    <cellStyle name="Comma 2 3 4 4" xfId="354"/>
    <cellStyle name="Comma 2 3 4 4 2" xfId="355"/>
    <cellStyle name="Comma 2 3 4 4 3" xfId="356"/>
    <cellStyle name="Comma 2 3 4 4 4" xfId="357"/>
    <cellStyle name="Comma 2 3 4 4 5" xfId="358"/>
    <cellStyle name="Comma 2 3 4 5" xfId="359"/>
    <cellStyle name="Comma 2 3 4 6" xfId="360"/>
    <cellStyle name="Comma 2 3 4 7" xfId="361"/>
    <cellStyle name="Comma 2 3 4 8" xfId="362"/>
    <cellStyle name="Comma 2 3 5" xfId="363"/>
    <cellStyle name="Comma 2 3 5 2" xfId="364"/>
    <cellStyle name="Comma 2 3 5 2 2" xfId="365"/>
    <cellStyle name="Comma 2 3 5 2 3" xfId="366"/>
    <cellStyle name="Comma 2 3 5 2 4" xfId="367"/>
    <cellStyle name="Comma 2 3 5 2 5" xfId="368"/>
    <cellStyle name="Comma 2 3 5 3" xfId="369"/>
    <cellStyle name="Comma 2 3 5 3 2" xfId="370"/>
    <cellStyle name="Comma 2 3 5 3 3" xfId="371"/>
    <cellStyle name="Comma 2 3 5 3 4" xfId="372"/>
    <cellStyle name="Comma 2 3 5 3 5" xfId="373"/>
    <cellStyle name="Comma 2 3 5 4" xfId="374"/>
    <cellStyle name="Comma 2 3 5 4 2" xfId="375"/>
    <cellStyle name="Comma 2 3 5 4 3" xfId="376"/>
    <cellStyle name="Comma 2 3 5 4 4" xfId="377"/>
    <cellStyle name="Comma 2 3 5 4 5" xfId="378"/>
    <cellStyle name="Comma 2 3 5 5" xfId="379"/>
    <cellStyle name="Comma 2 3 5 6" xfId="380"/>
    <cellStyle name="Comma 2 3 5 7" xfId="381"/>
    <cellStyle name="Comma 2 3 5 8" xfId="382"/>
    <cellStyle name="Comma 2 3 6" xfId="383"/>
    <cellStyle name="Comma 2 3 6 2" xfId="384"/>
    <cellStyle name="Comma 2 3 6 3" xfId="385"/>
    <cellStyle name="Comma 2 3 6 4" xfId="386"/>
    <cellStyle name="Comma 2 3 6 5" xfId="387"/>
    <cellStyle name="Comma 2 3 7" xfId="388"/>
    <cellStyle name="Comma 2 3 7 2" xfId="389"/>
    <cellStyle name="Comma 2 3 7 3" xfId="390"/>
    <cellStyle name="Comma 2 3 7 4" xfId="391"/>
    <cellStyle name="Comma 2 3 7 5" xfId="392"/>
    <cellStyle name="Comma 2 3 8" xfId="393"/>
    <cellStyle name="Comma 2 3 8 2" xfId="394"/>
    <cellStyle name="Comma 2 3 8 3" xfId="395"/>
    <cellStyle name="Comma 2 3 8 4" xfId="396"/>
    <cellStyle name="Comma 2 3 8 5" xfId="397"/>
    <cellStyle name="Comma 2 3 9" xfId="398"/>
    <cellStyle name="Comma 2 4" xfId="399"/>
    <cellStyle name="Comma 2 5" xfId="400"/>
    <cellStyle name="Comma 2 6" xfId="401"/>
    <cellStyle name="Comma 2 7" xfId="402"/>
    <cellStyle name="Comma 2 8" xfId="403"/>
    <cellStyle name="Comma 2 9" xfId="404"/>
    <cellStyle name="Comma 2 9 2" xfId="405"/>
    <cellStyle name="Comma 3" xfId="3"/>
    <cellStyle name="Comma 3 10" xfId="406"/>
    <cellStyle name="Comma 3 10 2" xfId="407"/>
    <cellStyle name="Comma 3 10 2 2" xfId="408"/>
    <cellStyle name="Comma 3 10 2 3" xfId="409"/>
    <cellStyle name="Comma 3 10 2 4" xfId="410"/>
    <cellStyle name="Comma 3 10 2 5" xfId="411"/>
    <cellStyle name="Comma 3 10 3" xfId="412"/>
    <cellStyle name="Comma 3 10 3 2" xfId="413"/>
    <cellStyle name="Comma 3 10 3 3" xfId="414"/>
    <cellStyle name="Comma 3 10 3 4" xfId="415"/>
    <cellStyle name="Comma 3 10 3 5" xfId="416"/>
    <cellStyle name="Comma 3 10 4" xfId="417"/>
    <cellStyle name="Comma 3 10 4 2" xfId="418"/>
    <cellStyle name="Comma 3 10 4 3" xfId="419"/>
    <cellStyle name="Comma 3 10 4 4" xfId="420"/>
    <cellStyle name="Comma 3 10 4 5" xfId="421"/>
    <cellStyle name="Comma 3 10 5" xfId="422"/>
    <cellStyle name="Comma 3 10 6" xfId="423"/>
    <cellStyle name="Comma 3 10 7" xfId="424"/>
    <cellStyle name="Comma 3 10 8" xfId="425"/>
    <cellStyle name="Comma 3 11" xfId="426"/>
    <cellStyle name="Comma 3 11 2" xfId="427"/>
    <cellStyle name="Comma 3 11 2 2" xfId="428"/>
    <cellStyle name="Comma 3 11 2 3" xfId="429"/>
    <cellStyle name="Comma 3 11 2 4" xfId="430"/>
    <cellStyle name="Comma 3 11 2 5" xfId="431"/>
    <cellStyle name="Comma 3 11 3" xfId="432"/>
    <cellStyle name="Comma 3 11 3 2" xfId="433"/>
    <cellStyle name="Comma 3 11 3 3" xfId="434"/>
    <cellStyle name="Comma 3 11 3 4" xfId="435"/>
    <cellStyle name="Comma 3 11 3 5" xfId="436"/>
    <cellStyle name="Comma 3 11 4" xfId="437"/>
    <cellStyle name="Comma 3 11 4 2" xfId="438"/>
    <cellStyle name="Comma 3 11 4 3" xfId="439"/>
    <cellStyle name="Comma 3 11 4 4" xfId="440"/>
    <cellStyle name="Comma 3 11 4 5" xfId="441"/>
    <cellStyle name="Comma 3 11 5" xfId="442"/>
    <cellStyle name="Comma 3 11 6" xfId="443"/>
    <cellStyle name="Comma 3 11 7" xfId="444"/>
    <cellStyle name="Comma 3 11 8" xfId="445"/>
    <cellStyle name="Comma 3 12" xfId="446"/>
    <cellStyle name="Comma 3 12 2" xfId="447"/>
    <cellStyle name="Comma 3 12 3" xfId="448"/>
    <cellStyle name="Comma 3 12 4" xfId="449"/>
    <cellStyle name="Comma 3 12 5" xfId="450"/>
    <cellStyle name="Comma 3 13" xfId="451"/>
    <cellStyle name="Comma 3 13 2" xfId="452"/>
    <cellStyle name="Comma 3 13 3" xfId="453"/>
    <cellStyle name="Comma 3 13 4" xfId="454"/>
    <cellStyle name="Comma 3 13 5" xfId="455"/>
    <cellStyle name="Comma 3 14" xfId="456"/>
    <cellStyle name="Comma 3 14 2" xfId="457"/>
    <cellStyle name="Comma 3 14 3" xfId="458"/>
    <cellStyle name="Comma 3 14 4" xfId="459"/>
    <cellStyle name="Comma 3 14 5" xfId="460"/>
    <cellStyle name="Comma 3 15" xfId="461"/>
    <cellStyle name="Comma 3 16" xfId="462"/>
    <cellStyle name="Comma 3 17" xfId="463"/>
    <cellStyle name="Comma 3 18" xfId="464"/>
    <cellStyle name="Comma 3 19" xfId="465"/>
    <cellStyle name="Comma 3 2" xfId="466"/>
    <cellStyle name="Comma 3 2 2" xfId="467"/>
    <cellStyle name="Comma 3 2 2 2" xfId="468"/>
    <cellStyle name="Comma 3 2 2 3" xfId="469"/>
    <cellStyle name="Comma 3 2 2 4" xfId="470"/>
    <cellStyle name="Comma 3 2 2 5" xfId="471"/>
    <cellStyle name="Comma 3 2 3" xfId="472"/>
    <cellStyle name="Comma 3 2 3 2" xfId="473"/>
    <cellStyle name="Comma 3 2 3 3" xfId="474"/>
    <cellStyle name="Comma 3 2 3 4" xfId="475"/>
    <cellStyle name="Comma 3 2 3 5" xfId="476"/>
    <cellStyle name="Comma 3 2 4" xfId="477"/>
    <cellStyle name="Comma 3 2 4 2" xfId="478"/>
    <cellStyle name="Comma 3 2 4 3" xfId="479"/>
    <cellStyle name="Comma 3 2 4 4" xfId="480"/>
    <cellStyle name="Comma 3 2 4 5" xfId="481"/>
    <cellStyle name="Comma 3 2 5" xfId="482"/>
    <cellStyle name="Comma 3 2 6" xfId="483"/>
    <cellStyle name="Comma 3 2 7" xfId="484"/>
    <cellStyle name="Comma 3 2 8" xfId="485"/>
    <cellStyle name="Comma 3 20" xfId="486"/>
    <cellStyle name="Comma 3 21" xfId="487"/>
    <cellStyle name="Comma 3 3" xfId="488"/>
    <cellStyle name="Comma 3 3 2" xfId="489"/>
    <cellStyle name="Comma 3 3 2 2" xfId="490"/>
    <cellStyle name="Comma 3 3 2 3" xfId="491"/>
    <cellStyle name="Comma 3 3 2 4" xfId="492"/>
    <cellStyle name="Comma 3 3 2 5" xfId="493"/>
    <cellStyle name="Comma 3 3 3" xfId="494"/>
    <cellStyle name="Comma 3 3 3 2" xfId="495"/>
    <cellStyle name="Comma 3 3 3 3" xfId="496"/>
    <cellStyle name="Comma 3 3 3 4" xfId="497"/>
    <cellStyle name="Comma 3 3 3 5" xfId="498"/>
    <cellStyle name="Comma 3 3 4" xfId="499"/>
    <cellStyle name="Comma 3 3 4 2" xfId="500"/>
    <cellStyle name="Comma 3 3 4 3" xfId="501"/>
    <cellStyle name="Comma 3 3 4 4" xfId="502"/>
    <cellStyle name="Comma 3 3 4 5" xfId="503"/>
    <cellStyle name="Comma 3 3 5" xfId="504"/>
    <cellStyle name="Comma 3 3 6" xfId="505"/>
    <cellStyle name="Comma 3 3 7" xfId="506"/>
    <cellStyle name="Comma 3 3 8" xfId="507"/>
    <cellStyle name="Comma 3 4" xfId="508"/>
    <cellStyle name="Comma 3 4 2" xfId="509"/>
    <cellStyle name="Comma 3 4 2 2" xfId="510"/>
    <cellStyle name="Comma 3 4 2 3" xfId="511"/>
    <cellStyle name="Comma 3 4 2 4" xfId="512"/>
    <cellStyle name="Comma 3 4 2 5" xfId="513"/>
    <cellStyle name="Comma 3 4 3" xfId="514"/>
    <cellStyle name="Comma 3 4 3 2" xfId="515"/>
    <cellStyle name="Comma 3 4 3 3" xfId="516"/>
    <cellStyle name="Comma 3 4 3 4" xfId="517"/>
    <cellStyle name="Comma 3 4 3 5" xfId="518"/>
    <cellStyle name="Comma 3 4 4" xfId="519"/>
    <cellStyle name="Comma 3 4 4 2" xfId="520"/>
    <cellStyle name="Comma 3 4 4 3" xfId="521"/>
    <cellStyle name="Comma 3 4 4 4" xfId="522"/>
    <cellStyle name="Comma 3 4 4 5" xfId="523"/>
    <cellStyle name="Comma 3 4 5" xfId="524"/>
    <cellStyle name="Comma 3 4 6" xfId="525"/>
    <cellStyle name="Comma 3 4 7" xfId="526"/>
    <cellStyle name="Comma 3 4 8" xfId="527"/>
    <cellStyle name="Comma 3 5" xfId="528"/>
    <cellStyle name="Comma 3 5 2" xfId="529"/>
    <cellStyle name="Comma 3 5 2 2" xfId="530"/>
    <cellStyle name="Comma 3 5 2 3" xfId="531"/>
    <cellStyle name="Comma 3 5 2 4" xfId="532"/>
    <cellStyle name="Comma 3 5 2 5" xfId="533"/>
    <cellStyle name="Comma 3 5 3" xfId="534"/>
    <cellStyle name="Comma 3 5 3 2" xfId="535"/>
    <cellStyle name="Comma 3 5 3 3" xfId="536"/>
    <cellStyle name="Comma 3 5 3 4" xfId="537"/>
    <cellStyle name="Comma 3 5 3 5" xfId="538"/>
    <cellStyle name="Comma 3 5 4" xfId="539"/>
    <cellStyle name="Comma 3 5 4 2" xfId="540"/>
    <cellStyle name="Comma 3 5 4 3" xfId="541"/>
    <cellStyle name="Comma 3 5 4 4" xfId="542"/>
    <cellStyle name="Comma 3 5 4 5" xfId="543"/>
    <cellStyle name="Comma 3 5 5" xfId="544"/>
    <cellStyle name="Comma 3 5 6" xfId="545"/>
    <cellStyle name="Comma 3 5 7" xfId="546"/>
    <cellStyle name="Comma 3 5 8" xfId="547"/>
    <cellStyle name="Comma 3 6" xfId="548"/>
    <cellStyle name="Comma 3 6 2" xfId="549"/>
    <cellStyle name="Comma 3 6 2 2" xfId="550"/>
    <cellStyle name="Comma 3 6 2 3" xfId="551"/>
    <cellStyle name="Comma 3 6 2 4" xfId="552"/>
    <cellStyle name="Comma 3 6 2 5" xfId="553"/>
    <cellStyle name="Comma 3 6 3" xfId="554"/>
    <cellStyle name="Comma 3 6 3 2" xfId="555"/>
    <cellStyle name="Comma 3 6 3 3" xfId="556"/>
    <cellStyle name="Comma 3 6 3 4" xfId="557"/>
    <cellStyle name="Comma 3 6 3 5" xfId="558"/>
    <cellStyle name="Comma 3 6 4" xfId="559"/>
    <cellStyle name="Comma 3 6 4 2" xfId="560"/>
    <cellStyle name="Comma 3 6 4 3" xfId="561"/>
    <cellStyle name="Comma 3 6 4 4" xfId="562"/>
    <cellStyle name="Comma 3 6 4 5" xfId="563"/>
    <cellStyle name="Comma 3 6 5" xfId="564"/>
    <cellStyle name="Comma 3 6 6" xfId="565"/>
    <cellStyle name="Comma 3 6 7" xfId="566"/>
    <cellStyle name="Comma 3 6 8" xfId="567"/>
    <cellStyle name="Comma 3 7" xfId="568"/>
    <cellStyle name="Comma 3 7 2" xfId="569"/>
    <cellStyle name="Comma 3 7 2 2" xfId="570"/>
    <cellStyle name="Comma 3 7 2 3" xfId="571"/>
    <cellStyle name="Comma 3 7 2 4" xfId="572"/>
    <cellStyle name="Comma 3 7 2 5" xfId="573"/>
    <cellStyle name="Comma 3 7 3" xfId="574"/>
    <cellStyle name="Comma 3 7 3 2" xfId="575"/>
    <cellStyle name="Comma 3 7 3 3" xfId="576"/>
    <cellStyle name="Comma 3 7 3 4" xfId="577"/>
    <cellStyle name="Comma 3 7 3 5" xfId="578"/>
    <cellStyle name="Comma 3 7 4" xfId="579"/>
    <cellStyle name="Comma 3 7 4 2" xfId="580"/>
    <cellStyle name="Comma 3 7 4 3" xfId="581"/>
    <cellStyle name="Comma 3 7 4 4" xfId="582"/>
    <cellStyle name="Comma 3 7 4 5" xfId="583"/>
    <cellStyle name="Comma 3 7 5" xfId="584"/>
    <cellStyle name="Comma 3 7 6" xfId="585"/>
    <cellStyle name="Comma 3 7 7" xfId="586"/>
    <cellStyle name="Comma 3 7 8" xfId="587"/>
    <cellStyle name="Comma 3 8" xfId="588"/>
    <cellStyle name="Comma 3 8 2" xfId="589"/>
    <cellStyle name="Comma 3 8 2 2" xfId="590"/>
    <cellStyle name="Comma 3 8 2 3" xfId="591"/>
    <cellStyle name="Comma 3 8 2 4" xfId="592"/>
    <cellStyle name="Comma 3 8 2 5" xfId="593"/>
    <cellStyle name="Comma 3 8 3" xfId="594"/>
    <cellStyle name="Comma 3 8 3 2" xfId="595"/>
    <cellStyle name="Comma 3 8 3 3" xfId="596"/>
    <cellStyle name="Comma 3 8 3 4" xfId="597"/>
    <cellStyle name="Comma 3 8 3 5" xfId="598"/>
    <cellStyle name="Comma 3 8 4" xfId="599"/>
    <cellStyle name="Comma 3 8 4 2" xfId="600"/>
    <cellStyle name="Comma 3 8 4 3" xfId="601"/>
    <cellStyle name="Comma 3 8 4 4" xfId="602"/>
    <cellStyle name="Comma 3 8 4 5" xfId="603"/>
    <cellStyle name="Comma 3 8 5" xfId="604"/>
    <cellStyle name="Comma 3 8 6" xfId="605"/>
    <cellStyle name="Comma 3 8 7" xfId="606"/>
    <cellStyle name="Comma 3 8 8" xfId="607"/>
    <cellStyle name="Comma 3 9" xfId="608"/>
    <cellStyle name="Comma 3 9 2" xfId="609"/>
    <cellStyle name="Comma 3 9 2 2" xfId="610"/>
    <cellStyle name="Comma 3 9 2 3" xfId="611"/>
    <cellStyle name="Comma 3 9 2 4" xfId="612"/>
    <cellStyle name="Comma 3 9 2 5" xfId="613"/>
    <cellStyle name="Comma 3 9 3" xfId="614"/>
    <cellStyle name="Comma 3 9 3 2" xfId="615"/>
    <cellStyle name="Comma 3 9 3 3" xfId="616"/>
    <cellStyle name="Comma 3 9 3 4" xfId="617"/>
    <cellStyle name="Comma 3 9 3 5" xfId="618"/>
    <cellStyle name="Comma 3 9 4" xfId="619"/>
    <cellStyle name="Comma 3 9 4 2" xfId="620"/>
    <cellStyle name="Comma 3 9 4 3" xfId="621"/>
    <cellStyle name="Comma 3 9 4 4" xfId="622"/>
    <cellStyle name="Comma 3 9 4 5" xfId="623"/>
    <cellStyle name="Comma 3 9 5" xfId="624"/>
    <cellStyle name="Comma 3 9 6" xfId="625"/>
    <cellStyle name="Comma 3 9 7" xfId="626"/>
    <cellStyle name="Comma 3 9 8" xfId="627"/>
    <cellStyle name="Comma 4" xfId="4"/>
    <cellStyle name="Comma 4 2" xfId="628"/>
    <cellStyle name="Comma 4 2 2" xfId="629"/>
    <cellStyle name="Comma 4 3" xfId="630"/>
    <cellStyle name="Comma 4 4" xfId="631"/>
    <cellStyle name="Comma 5" xfId="13"/>
    <cellStyle name="Comma 5 2" xfId="632"/>
    <cellStyle name="Comma 6" xfId="633"/>
    <cellStyle name="Comma 6 2" xfId="634"/>
    <cellStyle name="Comma 7" xfId="635"/>
    <cellStyle name="Comma 7 10" xfId="636"/>
    <cellStyle name="Comma 8" xfId="8638"/>
    <cellStyle name="Currency 18" xfId="637"/>
    <cellStyle name="Currency 18 2" xfId="638"/>
    <cellStyle name="Currency 18 3" xfId="639"/>
    <cellStyle name="Hyperlink" xfId="8639" builtinId="8"/>
    <cellStyle name="Normal" xfId="0" builtinId="0"/>
    <cellStyle name="Normal 10" xfId="640"/>
    <cellStyle name="Normal 10 10" xfId="641"/>
    <cellStyle name="Normal 10 11" xfId="642"/>
    <cellStyle name="Normal 10 12" xfId="643"/>
    <cellStyle name="Normal 10 13" xfId="644"/>
    <cellStyle name="Normal 10 14" xfId="645"/>
    <cellStyle name="Normal 10 15" xfId="646"/>
    <cellStyle name="Normal 10 16" xfId="647"/>
    <cellStyle name="Normal 10 17" xfId="648"/>
    <cellStyle name="Normal 10 18" xfId="649"/>
    <cellStyle name="Normal 10 19" xfId="650"/>
    <cellStyle name="Normal 10 2" xfId="651"/>
    <cellStyle name="Normal 10 20" xfId="652"/>
    <cellStyle name="Normal 10 3" xfId="653"/>
    <cellStyle name="Normal 10 4" xfId="654"/>
    <cellStyle name="Normal 10 5" xfId="655"/>
    <cellStyle name="Normal 10 6" xfId="656"/>
    <cellStyle name="Normal 10 7" xfId="657"/>
    <cellStyle name="Normal 10 8" xfId="658"/>
    <cellStyle name="Normal 10 9" xfId="659"/>
    <cellStyle name="Normal 100" xfId="660"/>
    <cellStyle name="Normal 100 2" xfId="661"/>
    <cellStyle name="Normal 100 3" xfId="662"/>
    <cellStyle name="Normal 100 4" xfId="663"/>
    <cellStyle name="Normal 100 5" xfId="664"/>
    <cellStyle name="Normal 101" xfId="665"/>
    <cellStyle name="Normal 101 2" xfId="666"/>
    <cellStyle name="Normal 101 3" xfId="667"/>
    <cellStyle name="Normal 101 4" xfId="668"/>
    <cellStyle name="Normal 101 5" xfId="669"/>
    <cellStyle name="Normal 102" xfId="670"/>
    <cellStyle name="Normal 102 2" xfId="671"/>
    <cellStyle name="Normal 102 3" xfId="672"/>
    <cellStyle name="Normal 102 4" xfId="673"/>
    <cellStyle name="Normal 102 5" xfId="674"/>
    <cellStyle name="Normal 103" xfId="675"/>
    <cellStyle name="Normal 103 2" xfId="676"/>
    <cellStyle name="Normal 103 3" xfId="677"/>
    <cellStyle name="Normal 103 4" xfId="678"/>
    <cellStyle name="Normal 103 5" xfId="679"/>
    <cellStyle name="Normal 104" xfId="680"/>
    <cellStyle name="Normal 104 2" xfId="681"/>
    <cellStyle name="Normal 104 3" xfId="682"/>
    <cellStyle name="Normal 104 4" xfId="683"/>
    <cellStyle name="Normal 104 5" xfId="684"/>
    <cellStyle name="Normal 105" xfId="685"/>
    <cellStyle name="Normal 105 2" xfId="686"/>
    <cellStyle name="Normal 105 3" xfId="687"/>
    <cellStyle name="Normal 105 4" xfId="688"/>
    <cellStyle name="Normal 105 5" xfId="689"/>
    <cellStyle name="Normal 106" xfId="690"/>
    <cellStyle name="Normal 106 2" xfId="691"/>
    <cellStyle name="Normal 106 3" xfId="692"/>
    <cellStyle name="Normal 106 4" xfId="693"/>
    <cellStyle name="Normal 106 5" xfId="694"/>
    <cellStyle name="Normal 107" xfId="695"/>
    <cellStyle name="Normal 107 2" xfId="696"/>
    <cellStyle name="Normal 107 3" xfId="697"/>
    <cellStyle name="Normal 107 4" xfId="698"/>
    <cellStyle name="Normal 107 5" xfId="699"/>
    <cellStyle name="Normal 108" xfId="700"/>
    <cellStyle name="Normal 108 2" xfId="701"/>
    <cellStyle name="Normal 108 3" xfId="702"/>
    <cellStyle name="Normal 108 4" xfId="703"/>
    <cellStyle name="Normal 108 5" xfId="704"/>
    <cellStyle name="Normal 109" xfId="705"/>
    <cellStyle name="Normal 109 2" xfId="706"/>
    <cellStyle name="Normal 109 3" xfId="707"/>
    <cellStyle name="Normal 109 4" xfId="708"/>
    <cellStyle name="Normal 109 5" xfId="709"/>
    <cellStyle name="Normal 11" xfId="710"/>
    <cellStyle name="Normal 11 10" xfId="711"/>
    <cellStyle name="Normal 11 11" xfId="712"/>
    <cellStyle name="Normal 11 12" xfId="713"/>
    <cellStyle name="Normal 11 13" xfId="714"/>
    <cellStyle name="Normal 11 14" xfId="715"/>
    <cellStyle name="Normal 11 15" xfId="716"/>
    <cellStyle name="Normal 11 16" xfId="717"/>
    <cellStyle name="Normal 11 17" xfId="718"/>
    <cellStyle name="Normal 11 18" xfId="719"/>
    <cellStyle name="Normal 11 19" xfId="720"/>
    <cellStyle name="Normal 11 2" xfId="721"/>
    <cellStyle name="Normal 11 20" xfId="722"/>
    <cellStyle name="Normal 11 3" xfId="723"/>
    <cellStyle name="Normal 11 4" xfId="724"/>
    <cellStyle name="Normal 11 5" xfId="725"/>
    <cellStyle name="Normal 11 6" xfId="726"/>
    <cellStyle name="Normal 11 7" xfId="727"/>
    <cellStyle name="Normal 11 8" xfId="728"/>
    <cellStyle name="Normal 11 9" xfId="729"/>
    <cellStyle name="Normal 110" xfId="730"/>
    <cellStyle name="Normal 110 2" xfId="731"/>
    <cellStyle name="Normal 110 3" xfId="732"/>
    <cellStyle name="Normal 110 4" xfId="733"/>
    <cellStyle name="Normal 110 5" xfId="734"/>
    <cellStyle name="Normal 111" xfId="735"/>
    <cellStyle name="Normal 111 2" xfId="736"/>
    <cellStyle name="Normal 111 3" xfId="737"/>
    <cellStyle name="Normal 111 4" xfId="738"/>
    <cellStyle name="Normal 111 5" xfId="739"/>
    <cellStyle name="Normal 112" xfId="740"/>
    <cellStyle name="Normal 112 2" xfId="741"/>
    <cellStyle name="Normal 112 3" xfId="742"/>
    <cellStyle name="Normal 112 4" xfId="743"/>
    <cellStyle name="Normal 112 5" xfId="744"/>
    <cellStyle name="Normal 113" xfId="745"/>
    <cellStyle name="Normal 113 2" xfId="746"/>
    <cellStyle name="Normal 113 3" xfId="747"/>
    <cellStyle name="Normal 113 4" xfId="748"/>
    <cellStyle name="Normal 113 5" xfId="749"/>
    <cellStyle name="Normal 114" xfId="750"/>
    <cellStyle name="Normal 114 2" xfId="751"/>
    <cellStyle name="Normal 114 3" xfId="752"/>
    <cellStyle name="Normal 114 4" xfId="753"/>
    <cellStyle name="Normal 114 5" xfId="754"/>
    <cellStyle name="Normal 115" xfId="755"/>
    <cellStyle name="Normal 115 2" xfId="756"/>
    <cellStyle name="Normal 115 3" xfId="757"/>
    <cellStyle name="Normal 115 4" xfId="758"/>
    <cellStyle name="Normal 115 5" xfId="759"/>
    <cellStyle name="Normal 116" xfId="760"/>
    <cellStyle name="Normal 116 2" xfId="761"/>
    <cellStyle name="Normal 116 3" xfId="762"/>
    <cellStyle name="Normal 116 4" xfId="763"/>
    <cellStyle name="Normal 116 5" xfId="764"/>
    <cellStyle name="Normal 117" xfId="765"/>
    <cellStyle name="Normal 117 2" xfId="766"/>
    <cellStyle name="Normal 117 3" xfId="767"/>
    <cellStyle name="Normal 117 4" xfId="768"/>
    <cellStyle name="Normal 117 5" xfId="769"/>
    <cellStyle name="Normal 118" xfId="770"/>
    <cellStyle name="Normal 118 2" xfId="771"/>
    <cellStyle name="Normal 118 3" xfId="772"/>
    <cellStyle name="Normal 118 4" xfId="773"/>
    <cellStyle name="Normal 118 5" xfId="774"/>
    <cellStyle name="Normal 119" xfId="775"/>
    <cellStyle name="Normal 119 2" xfId="776"/>
    <cellStyle name="Normal 119 3" xfId="777"/>
    <cellStyle name="Normal 119 4" xfId="778"/>
    <cellStyle name="Normal 119 5" xfId="779"/>
    <cellStyle name="Normal 12" xfId="780"/>
    <cellStyle name="Normal 12 10" xfId="781"/>
    <cellStyle name="Normal 12 11" xfId="782"/>
    <cellStyle name="Normal 12 12" xfId="783"/>
    <cellStyle name="Normal 12 13" xfId="784"/>
    <cellStyle name="Normal 12 14" xfId="785"/>
    <cellStyle name="Normal 12 15" xfId="786"/>
    <cellStyle name="Normal 12 16" xfId="787"/>
    <cellStyle name="Normal 12 17" xfId="788"/>
    <cellStyle name="Normal 12 18" xfId="789"/>
    <cellStyle name="Normal 12 19" xfId="790"/>
    <cellStyle name="Normal 12 2" xfId="791"/>
    <cellStyle name="Normal 12 20" xfId="792"/>
    <cellStyle name="Normal 12 3" xfId="793"/>
    <cellStyle name="Normal 12 4" xfId="794"/>
    <cellStyle name="Normal 12 5" xfId="795"/>
    <cellStyle name="Normal 12 6" xfId="796"/>
    <cellStyle name="Normal 12 7" xfId="797"/>
    <cellStyle name="Normal 12 8" xfId="798"/>
    <cellStyle name="Normal 12 9" xfId="799"/>
    <cellStyle name="Normal 120" xfId="800"/>
    <cellStyle name="Normal 120 2" xfId="801"/>
    <cellStyle name="Normal 120 3" xfId="802"/>
    <cellStyle name="Normal 120 4" xfId="803"/>
    <cellStyle name="Normal 120 5" xfId="804"/>
    <cellStyle name="Normal 121" xfId="805"/>
    <cellStyle name="Normal 121 2" xfId="806"/>
    <cellStyle name="Normal 121 3" xfId="807"/>
    <cellStyle name="Normal 121 4" xfId="808"/>
    <cellStyle name="Normal 121 5" xfId="809"/>
    <cellStyle name="Normal 122" xfId="810"/>
    <cellStyle name="Normal 122 2" xfId="811"/>
    <cellStyle name="Normal 122 3" xfId="812"/>
    <cellStyle name="Normal 122 4" xfId="813"/>
    <cellStyle name="Normal 122 5" xfId="814"/>
    <cellStyle name="Normal 123" xfId="815"/>
    <cellStyle name="Normal 123 2" xfId="816"/>
    <cellStyle name="Normal 123 3" xfId="817"/>
    <cellStyle name="Normal 123 4" xfId="818"/>
    <cellStyle name="Normal 123 5" xfId="819"/>
    <cellStyle name="Normal 123 6" xfId="820"/>
    <cellStyle name="Normal 124" xfId="821"/>
    <cellStyle name="Normal 124 2" xfId="822"/>
    <cellStyle name="Normal 124 3" xfId="823"/>
    <cellStyle name="Normal 124 4" xfId="824"/>
    <cellStyle name="Normal 124 5" xfId="825"/>
    <cellStyle name="Normal 125" xfId="826"/>
    <cellStyle name="Normal 125 2" xfId="827"/>
    <cellStyle name="Normal 125 3" xfId="828"/>
    <cellStyle name="Normal 125 4" xfId="829"/>
    <cellStyle name="Normal 125 5" xfId="830"/>
    <cellStyle name="Normal 126" xfId="831"/>
    <cellStyle name="Normal 126 2" xfId="832"/>
    <cellStyle name="Normal 126 3" xfId="833"/>
    <cellStyle name="Normal 126 4" xfId="834"/>
    <cellStyle name="Normal 126 5" xfId="835"/>
    <cellStyle name="Normal 127" xfId="836"/>
    <cellStyle name="Normal 127 2" xfId="837"/>
    <cellStyle name="Normal 127 3" xfId="838"/>
    <cellStyle name="Normal 127 4" xfId="839"/>
    <cellStyle name="Normal 127 5" xfId="840"/>
    <cellStyle name="Normal 128" xfId="841"/>
    <cellStyle name="Normal 128 2" xfId="842"/>
    <cellStyle name="Normal 128 3" xfId="843"/>
    <cellStyle name="Normal 128 4" xfId="844"/>
    <cellStyle name="Normal 128 5" xfId="845"/>
    <cellStyle name="Normal 129" xfId="846"/>
    <cellStyle name="Normal 129 2" xfId="847"/>
    <cellStyle name="Normal 129 3" xfId="848"/>
    <cellStyle name="Normal 129 4" xfId="849"/>
    <cellStyle name="Normal 129 5" xfId="850"/>
    <cellStyle name="Normal 129 6" xfId="851"/>
    <cellStyle name="Normal 13" xfId="852"/>
    <cellStyle name="Normal 13 10" xfId="853"/>
    <cellStyle name="Normal 13 11" xfId="854"/>
    <cellStyle name="Normal 13 12" xfId="855"/>
    <cellStyle name="Normal 13 13" xfId="856"/>
    <cellStyle name="Normal 13 14" xfId="857"/>
    <cellStyle name="Normal 13 15" xfId="858"/>
    <cellStyle name="Normal 13 16" xfId="859"/>
    <cellStyle name="Normal 13 17" xfId="860"/>
    <cellStyle name="Normal 13 18" xfId="861"/>
    <cellStyle name="Normal 13 19" xfId="862"/>
    <cellStyle name="Normal 13 2" xfId="863"/>
    <cellStyle name="Normal 13 20" xfId="864"/>
    <cellStyle name="Normal 13 3" xfId="865"/>
    <cellStyle name="Normal 13 4" xfId="866"/>
    <cellStyle name="Normal 13 5" xfId="867"/>
    <cellStyle name="Normal 13 6" xfId="868"/>
    <cellStyle name="Normal 13 7" xfId="869"/>
    <cellStyle name="Normal 13 8" xfId="870"/>
    <cellStyle name="Normal 13 9" xfId="871"/>
    <cellStyle name="Normal 130" xfId="872"/>
    <cellStyle name="Normal 131" xfId="873"/>
    <cellStyle name="Normal 132" xfId="874"/>
    <cellStyle name="Normal 133" xfId="875"/>
    <cellStyle name="Normal 134" xfId="876"/>
    <cellStyle name="Normal 135" xfId="877"/>
    <cellStyle name="Normal 136" xfId="878"/>
    <cellStyle name="Normal 137" xfId="879"/>
    <cellStyle name="Normal 138" xfId="880"/>
    <cellStyle name="Normal 139" xfId="881"/>
    <cellStyle name="Normal 14" xfId="882"/>
    <cellStyle name="Normal 14 10" xfId="883"/>
    <cellStyle name="Normal 14 11" xfId="884"/>
    <cellStyle name="Normal 14 12" xfId="885"/>
    <cellStyle name="Normal 14 13" xfId="886"/>
    <cellStyle name="Normal 14 14" xfId="887"/>
    <cellStyle name="Normal 14 15" xfId="888"/>
    <cellStyle name="Normal 14 16" xfId="889"/>
    <cellStyle name="Normal 14 17" xfId="890"/>
    <cellStyle name="Normal 14 18" xfId="891"/>
    <cellStyle name="Normal 14 19" xfId="892"/>
    <cellStyle name="Normal 14 2" xfId="893"/>
    <cellStyle name="Normal 14 20" xfId="894"/>
    <cellStyle name="Normal 14 3" xfId="895"/>
    <cellStyle name="Normal 14 4" xfId="896"/>
    <cellStyle name="Normal 14 5" xfId="897"/>
    <cellStyle name="Normal 14 6" xfId="898"/>
    <cellStyle name="Normal 14 7" xfId="899"/>
    <cellStyle name="Normal 14 8" xfId="900"/>
    <cellStyle name="Normal 14 9" xfId="901"/>
    <cellStyle name="Normal 140" xfId="902"/>
    <cellStyle name="Normal 141" xfId="903"/>
    <cellStyle name="Normal 142" xfId="904"/>
    <cellStyle name="Normal 143" xfId="905"/>
    <cellStyle name="Normal 144" xfId="906"/>
    <cellStyle name="Normal 145" xfId="907"/>
    <cellStyle name="Normal 146" xfId="908"/>
    <cellStyle name="Normal 147" xfId="909"/>
    <cellStyle name="Normal 148" xfId="910"/>
    <cellStyle name="Normal 149" xfId="911"/>
    <cellStyle name="Normal 15" xfId="912"/>
    <cellStyle name="Normal 15 10" xfId="913"/>
    <cellStyle name="Normal 15 11" xfId="914"/>
    <cellStyle name="Normal 15 12" xfId="915"/>
    <cellStyle name="Normal 15 13" xfId="916"/>
    <cellStyle name="Normal 15 14" xfId="917"/>
    <cellStyle name="Normal 15 15" xfId="918"/>
    <cellStyle name="Normal 15 16" xfId="919"/>
    <cellStyle name="Normal 15 17" xfId="920"/>
    <cellStyle name="Normal 15 18" xfId="921"/>
    <cellStyle name="Normal 15 19" xfId="922"/>
    <cellStyle name="Normal 15 2" xfId="923"/>
    <cellStyle name="Normal 15 20" xfId="924"/>
    <cellStyle name="Normal 15 3" xfId="925"/>
    <cellStyle name="Normal 15 4" xfId="926"/>
    <cellStyle name="Normal 15 5" xfId="927"/>
    <cellStyle name="Normal 15 6" xfId="928"/>
    <cellStyle name="Normal 15 7" xfId="929"/>
    <cellStyle name="Normal 15 8" xfId="930"/>
    <cellStyle name="Normal 15 9" xfId="931"/>
    <cellStyle name="Normal 150" xfId="932"/>
    <cellStyle name="Normal 151" xfId="933"/>
    <cellStyle name="Normal 152" xfId="934"/>
    <cellStyle name="Normal 153" xfId="935"/>
    <cellStyle name="Normal 154" xfId="936"/>
    <cellStyle name="Normal 155" xfId="937"/>
    <cellStyle name="Normal 156" xfId="938"/>
    <cellStyle name="Normal 157" xfId="939"/>
    <cellStyle name="Normal 158" xfId="940"/>
    <cellStyle name="Normal 159" xfId="941"/>
    <cellStyle name="Normal 16" xfId="942"/>
    <cellStyle name="Normal 16 10" xfId="943"/>
    <cellStyle name="Normal 16 11" xfId="944"/>
    <cellStyle name="Normal 16 12" xfId="945"/>
    <cellStyle name="Normal 16 13" xfId="946"/>
    <cellStyle name="Normal 16 14" xfId="947"/>
    <cellStyle name="Normal 16 15" xfId="948"/>
    <cellStyle name="Normal 16 16" xfId="949"/>
    <cellStyle name="Normal 16 17" xfId="950"/>
    <cellStyle name="Normal 16 18" xfId="951"/>
    <cellStyle name="Normal 16 19" xfId="952"/>
    <cellStyle name="Normal 16 2" xfId="953"/>
    <cellStyle name="Normal 16 20" xfId="954"/>
    <cellStyle name="Normal 16 3" xfId="955"/>
    <cellStyle name="Normal 16 4" xfId="956"/>
    <cellStyle name="Normal 16 5" xfId="957"/>
    <cellStyle name="Normal 16 6" xfId="958"/>
    <cellStyle name="Normal 16 7" xfId="959"/>
    <cellStyle name="Normal 16 8" xfId="960"/>
    <cellStyle name="Normal 16 9" xfId="961"/>
    <cellStyle name="Normal 160" xfId="962"/>
    <cellStyle name="Normal 161" xfId="963"/>
    <cellStyle name="Normal 162" xfId="964"/>
    <cellStyle name="Normal 163" xfId="965"/>
    <cellStyle name="Normal 164" xfId="966"/>
    <cellStyle name="Normal 165" xfId="967"/>
    <cellStyle name="Normal 166" xfId="968"/>
    <cellStyle name="Normal 167" xfId="969"/>
    <cellStyle name="Normal 168" xfId="970"/>
    <cellStyle name="Normal 169" xfId="971"/>
    <cellStyle name="Normal 17" xfId="972"/>
    <cellStyle name="Normal 17 10" xfId="973"/>
    <cellStyle name="Normal 17 11" xfId="974"/>
    <cellStyle name="Normal 17 12" xfId="975"/>
    <cellStyle name="Normal 17 13" xfId="976"/>
    <cellStyle name="Normal 17 14" xfId="977"/>
    <cellStyle name="Normal 17 15" xfId="978"/>
    <cellStyle name="Normal 17 16" xfId="979"/>
    <cellStyle name="Normal 17 17" xfId="980"/>
    <cellStyle name="Normal 17 18" xfId="981"/>
    <cellStyle name="Normal 17 19" xfId="982"/>
    <cellStyle name="Normal 17 2" xfId="983"/>
    <cellStyle name="Normal 17 2 2" xfId="984"/>
    <cellStyle name="Normal 17 2 3" xfId="985"/>
    <cellStyle name="Normal 17 2 4" xfId="986"/>
    <cellStyle name="Normal 17 2 5" xfId="987"/>
    <cellStyle name="Normal 17 20" xfId="988"/>
    <cellStyle name="Normal 17 21" xfId="989"/>
    <cellStyle name="Normal 17 22" xfId="990"/>
    <cellStyle name="Normal 17 23" xfId="991"/>
    <cellStyle name="Normal 17 3" xfId="992"/>
    <cellStyle name="Normal 17 4" xfId="993"/>
    <cellStyle name="Normal 17 5" xfId="994"/>
    <cellStyle name="Normal 17 6" xfId="995"/>
    <cellStyle name="Normal 17 7" xfId="996"/>
    <cellStyle name="Normal 17 8" xfId="997"/>
    <cellStyle name="Normal 17 9" xfId="998"/>
    <cellStyle name="Normal 170" xfId="999"/>
    <cellStyle name="Normal 171" xfId="1000"/>
    <cellStyle name="Normal 172" xfId="1001"/>
    <cellStyle name="Normal 173" xfId="1002"/>
    <cellStyle name="Normal 174" xfId="1003"/>
    <cellStyle name="Normal 175" xfId="1004"/>
    <cellStyle name="Normal 176" xfId="1005"/>
    <cellStyle name="Normal 177" xfId="1006"/>
    <cellStyle name="Normal 178" xfId="1007"/>
    <cellStyle name="Normal 179" xfId="1008"/>
    <cellStyle name="Normal 18" xfId="1009"/>
    <cellStyle name="Normal 18 10" xfId="1010"/>
    <cellStyle name="Normal 18 11" xfId="1011"/>
    <cellStyle name="Normal 18 12" xfId="1012"/>
    <cellStyle name="Normal 18 13" xfId="1013"/>
    <cellStyle name="Normal 18 14" xfId="1014"/>
    <cellStyle name="Normal 18 15" xfId="1015"/>
    <cellStyle name="Normal 18 16" xfId="1016"/>
    <cellStyle name="Normal 18 17" xfId="1017"/>
    <cellStyle name="Normal 18 18" xfId="1018"/>
    <cellStyle name="Normal 18 19" xfId="1019"/>
    <cellStyle name="Normal 18 2" xfId="1020"/>
    <cellStyle name="Normal 18 20" xfId="1021"/>
    <cellStyle name="Normal 18 3" xfId="1022"/>
    <cellStyle name="Normal 18 4" xfId="1023"/>
    <cellStyle name="Normal 18 5" xfId="1024"/>
    <cellStyle name="Normal 18 6" xfId="1025"/>
    <cellStyle name="Normal 18 7" xfId="1026"/>
    <cellStyle name="Normal 18 8" xfId="1027"/>
    <cellStyle name="Normal 18 9" xfId="1028"/>
    <cellStyle name="Normal 180" xfId="1029"/>
    <cellStyle name="Normal 181" xfId="1030"/>
    <cellStyle name="Normal 182" xfId="1031"/>
    <cellStyle name="Normal 183" xfId="1032"/>
    <cellStyle name="Normal 184" xfId="1033"/>
    <cellStyle name="Normal 185" xfId="1034"/>
    <cellStyle name="Normal 186" xfId="1035"/>
    <cellStyle name="Normal 187" xfId="1036"/>
    <cellStyle name="Normal 188" xfId="1037"/>
    <cellStyle name="Normal 189" xfId="1038"/>
    <cellStyle name="Normal 19" xfId="1039"/>
    <cellStyle name="Normal 19 10" xfId="1040"/>
    <cellStyle name="Normal 19 11" xfId="1041"/>
    <cellStyle name="Normal 19 12" xfId="1042"/>
    <cellStyle name="Normal 19 13" xfId="1043"/>
    <cellStyle name="Normal 19 14" xfId="1044"/>
    <cellStyle name="Normal 19 15" xfId="1045"/>
    <cellStyle name="Normal 19 16" xfId="1046"/>
    <cellStyle name="Normal 19 17" xfId="1047"/>
    <cellStyle name="Normal 19 18" xfId="1048"/>
    <cellStyle name="Normal 19 19" xfId="1049"/>
    <cellStyle name="Normal 19 2" xfId="1050"/>
    <cellStyle name="Normal 19 20" xfId="1051"/>
    <cellStyle name="Normal 19 3" xfId="1052"/>
    <cellStyle name="Normal 19 4" xfId="1053"/>
    <cellStyle name="Normal 19 5" xfId="1054"/>
    <cellStyle name="Normal 19 6" xfId="1055"/>
    <cellStyle name="Normal 19 7" xfId="1056"/>
    <cellStyle name="Normal 19 8" xfId="1057"/>
    <cellStyle name="Normal 19 9" xfId="1058"/>
    <cellStyle name="Normal 190" xfId="1059"/>
    <cellStyle name="Normal 191" xfId="1060"/>
    <cellStyle name="Normal 192" xfId="1061"/>
    <cellStyle name="Normal 193" xfId="1062"/>
    <cellStyle name="Normal 194" xfId="1063"/>
    <cellStyle name="Normal 195" xfId="1064"/>
    <cellStyle name="Normal 196" xfId="1065"/>
    <cellStyle name="Normal 197" xfId="1066"/>
    <cellStyle name="Normal 198" xfId="1067"/>
    <cellStyle name="Normal 199" xfId="1068"/>
    <cellStyle name="Normal 2" xfId="5"/>
    <cellStyle name="Normal 2 10" xfId="1069"/>
    <cellStyle name="Normal 2 10 2" xfId="1070"/>
    <cellStyle name="Normal 2 10 3" xfId="1071"/>
    <cellStyle name="Normal 2 10 4" xfId="1072"/>
    <cellStyle name="Normal 2 11" xfId="1073"/>
    <cellStyle name="Normal 2 11 2" xfId="1074"/>
    <cellStyle name="Normal 2 11 3" xfId="1075"/>
    <cellStyle name="Normal 2 12" xfId="1076"/>
    <cellStyle name="Normal 2 12 2" xfId="1077"/>
    <cellStyle name="Normal 2 12 3" xfId="1078"/>
    <cellStyle name="Normal 2 13" xfId="1079"/>
    <cellStyle name="Normal 2 13 2" xfId="1080"/>
    <cellStyle name="Normal 2 13 3" xfId="1081"/>
    <cellStyle name="Normal 2 14" xfId="1082"/>
    <cellStyle name="Normal 2 14 2" xfId="1083"/>
    <cellStyle name="Normal 2 14 3" xfId="1084"/>
    <cellStyle name="Normal 2 15" xfId="1085"/>
    <cellStyle name="Normal 2 15 2" xfId="1086"/>
    <cellStyle name="Normal 2 15 3" xfId="1087"/>
    <cellStyle name="Normal 2 16" xfId="1088"/>
    <cellStyle name="Normal 2 16 2" xfId="1089"/>
    <cellStyle name="Normal 2 16 3" xfId="1090"/>
    <cellStyle name="Normal 2 17" xfId="1091"/>
    <cellStyle name="Normal 2 17 2" xfId="1092"/>
    <cellStyle name="Normal 2 17 3" xfId="1093"/>
    <cellStyle name="Normal 2 18" xfId="1094"/>
    <cellStyle name="Normal 2 18 2" xfId="1095"/>
    <cellStyle name="Normal 2 18 3" xfId="1096"/>
    <cellStyle name="Normal 2 19" xfId="1097"/>
    <cellStyle name="Normal 2 19 2" xfId="1098"/>
    <cellStyle name="Normal 2 19 3" xfId="1099"/>
    <cellStyle name="Normal 2 2" xfId="1100"/>
    <cellStyle name="Normal 2 2 2" xfId="1101"/>
    <cellStyle name="Normal 2 2 2 2" xfId="1102"/>
    <cellStyle name="Normal 2 2 2 3" xfId="1103"/>
    <cellStyle name="Normal 2 2 2 4" xfId="1104"/>
    <cellStyle name="Normal 2 2 2 5" xfId="1105"/>
    <cellStyle name="Normal 2 2 3" xfId="1106"/>
    <cellStyle name="Normal 2 2 3 2" xfId="1107"/>
    <cellStyle name="Normal 2 2 3 3" xfId="1108"/>
    <cellStyle name="Normal 2 2 4" xfId="1109"/>
    <cellStyle name="Normal 2 20" xfId="1110"/>
    <cellStyle name="Normal 2 20 2" xfId="1111"/>
    <cellStyle name="Normal 2 20 3" xfId="1112"/>
    <cellStyle name="Normal 2 21" xfId="1113"/>
    <cellStyle name="Normal 2 21 2" xfId="1114"/>
    <cellStyle name="Normal 2 21 3" xfId="1115"/>
    <cellStyle name="Normal 2 22" xfId="1116"/>
    <cellStyle name="Normal 2 22 2" xfId="1117"/>
    <cellStyle name="Normal 2 22 3" xfId="1118"/>
    <cellStyle name="Normal 2 23" xfId="1119"/>
    <cellStyle name="Normal 2 23 2" xfId="1120"/>
    <cellStyle name="Normal 2 23 3" xfId="1121"/>
    <cellStyle name="Normal 2 24" xfId="1122"/>
    <cellStyle name="Normal 2 24 2" xfId="1123"/>
    <cellStyle name="Normal 2 24 3" xfId="1124"/>
    <cellStyle name="Normal 2 25" xfId="1125"/>
    <cellStyle name="Normal 2 25 2" xfId="1126"/>
    <cellStyle name="Normal 2 25 3" xfId="1127"/>
    <cellStyle name="Normal 2 26" xfId="1128"/>
    <cellStyle name="Normal 2 26 2" xfId="1129"/>
    <cellStyle name="Normal 2 26 3" xfId="1130"/>
    <cellStyle name="Normal 2 27" xfId="1131"/>
    <cellStyle name="Normal 2 27 2" xfId="1132"/>
    <cellStyle name="Normal 2 27 3" xfId="1133"/>
    <cellStyle name="Normal 2 28" xfId="1134"/>
    <cellStyle name="Normal 2 28 2" xfId="1135"/>
    <cellStyle name="Normal 2 28 3" xfId="1136"/>
    <cellStyle name="Normal 2 29" xfId="1137"/>
    <cellStyle name="Normal 2 29 2" xfId="1138"/>
    <cellStyle name="Normal 2 29 3" xfId="1139"/>
    <cellStyle name="Normal 2 3" xfId="1140"/>
    <cellStyle name="Normal 2 3 10" xfId="1141"/>
    <cellStyle name="Normal 2 3 11" xfId="1142"/>
    <cellStyle name="Normal 2 3 12" xfId="1143"/>
    <cellStyle name="Normal 2 3 13" xfId="1144"/>
    <cellStyle name="Normal 2 3 14" xfId="1145"/>
    <cellStyle name="Normal 2 3 15" xfId="1146"/>
    <cellStyle name="Normal 2 3 16" xfId="1147"/>
    <cellStyle name="Normal 2 3 17" xfId="1148"/>
    <cellStyle name="Normal 2 3 18" xfId="1149"/>
    <cellStyle name="Normal 2 3 18 2" xfId="1150"/>
    <cellStyle name="Normal 2 3 18 3" xfId="1151"/>
    <cellStyle name="Normal 2 3 18 4" xfId="1152"/>
    <cellStyle name="Normal 2 3 18 5" xfId="1153"/>
    <cellStyle name="Normal 2 3 19" xfId="1154"/>
    <cellStyle name="Normal 2 3 19 2" xfId="1155"/>
    <cellStyle name="Normal 2 3 19 3" xfId="1156"/>
    <cellStyle name="Normal 2 3 19 4" xfId="1157"/>
    <cellStyle name="Normal 2 3 19 5" xfId="1158"/>
    <cellStyle name="Normal 2 3 2" xfId="1159"/>
    <cellStyle name="Normal 2 3 2 10" xfId="1160"/>
    <cellStyle name="Normal 2 3 2 10 2" xfId="1161"/>
    <cellStyle name="Normal 2 3 2 10 2 2" xfId="1162"/>
    <cellStyle name="Normal 2 3 2 10 2 3" xfId="1163"/>
    <cellStyle name="Normal 2 3 2 10 2 4" xfId="1164"/>
    <cellStyle name="Normal 2 3 2 10 2 5" xfId="1165"/>
    <cellStyle name="Normal 2 3 2 10 3" xfId="1166"/>
    <cellStyle name="Normal 2 3 2 10 3 2" xfId="1167"/>
    <cellStyle name="Normal 2 3 2 10 3 3" xfId="1168"/>
    <cellStyle name="Normal 2 3 2 10 3 4" xfId="1169"/>
    <cellStyle name="Normal 2 3 2 10 3 5" xfId="1170"/>
    <cellStyle name="Normal 2 3 2 10 4" xfId="1171"/>
    <cellStyle name="Normal 2 3 2 10 4 2" xfId="1172"/>
    <cellStyle name="Normal 2 3 2 10 4 3" xfId="1173"/>
    <cellStyle name="Normal 2 3 2 10 4 4" xfId="1174"/>
    <cellStyle name="Normal 2 3 2 10 4 5" xfId="1175"/>
    <cellStyle name="Normal 2 3 2 10 5" xfId="1176"/>
    <cellStyle name="Normal 2 3 2 10 6" xfId="1177"/>
    <cellStyle name="Normal 2 3 2 10 7" xfId="1178"/>
    <cellStyle name="Normal 2 3 2 10 8" xfId="1179"/>
    <cellStyle name="Normal 2 3 2 11" xfId="1180"/>
    <cellStyle name="Normal 2 3 2 11 2" xfId="1181"/>
    <cellStyle name="Normal 2 3 2 11 2 2" xfId="1182"/>
    <cellStyle name="Normal 2 3 2 11 2 3" xfId="1183"/>
    <cellStyle name="Normal 2 3 2 11 2 4" xfId="1184"/>
    <cellStyle name="Normal 2 3 2 11 2 5" xfId="1185"/>
    <cellStyle name="Normal 2 3 2 11 3" xfId="1186"/>
    <cellStyle name="Normal 2 3 2 11 3 2" xfId="1187"/>
    <cellStyle name="Normal 2 3 2 11 3 3" xfId="1188"/>
    <cellStyle name="Normal 2 3 2 11 3 4" xfId="1189"/>
    <cellStyle name="Normal 2 3 2 11 3 5" xfId="1190"/>
    <cellStyle name="Normal 2 3 2 11 4" xfId="1191"/>
    <cellStyle name="Normal 2 3 2 11 4 2" xfId="1192"/>
    <cellStyle name="Normal 2 3 2 11 4 3" xfId="1193"/>
    <cellStyle name="Normal 2 3 2 11 4 4" xfId="1194"/>
    <cellStyle name="Normal 2 3 2 11 4 5" xfId="1195"/>
    <cellStyle name="Normal 2 3 2 11 5" xfId="1196"/>
    <cellStyle name="Normal 2 3 2 11 6" xfId="1197"/>
    <cellStyle name="Normal 2 3 2 11 7" xfId="1198"/>
    <cellStyle name="Normal 2 3 2 11 8" xfId="1199"/>
    <cellStyle name="Normal 2 3 2 2" xfId="1200"/>
    <cellStyle name="Normal 2 3 2 2 10" xfId="1201"/>
    <cellStyle name="Normal 2 3 2 2 11" xfId="1202"/>
    <cellStyle name="Normal 2 3 2 2 11 2" xfId="1203"/>
    <cellStyle name="Normal 2 3 2 2 11 3" xfId="1204"/>
    <cellStyle name="Normal 2 3 2 2 11 4" xfId="1205"/>
    <cellStyle name="Normal 2 3 2 2 11 5" xfId="1206"/>
    <cellStyle name="Normal 2 3 2 2 12" xfId="1207"/>
    <cellStyle name="Normal 2 3 2 2 12 2" xfId="1208"/>
    <cellStyle name="Normal 2 3 2 2 12 3" xfId="1209"/>
    <cellStyle name="Normal 2 3 2 2 12 4" xfId="1210"/>
    <cellStyle name="Normal 2 3 2 2 12 5" xfId="1211"/>
    <cellStyle name="Normal 2 3 2 2 13" xfId="1212"/>
    <cellStyle name="Normal 2 3 2 2 13 2" xfId="1213"/>
    <cellStyle name="Normal 2 3 2 2 13 3" xfId="1214"/>
    <cellStyle name="Normal 2 3 2 2 13 4" xfId="1215"/>
    <cellStyle name="Normal 2 3 2 2 13 5" xfId="1216"/>
    <cellStyle name="Normal 2 3 2 2 14" xfId="1217"/>
    <cellStyle name="Normal 2 3 2 2 15" xfId="1218"/>
    <cellStyle name="Normal 2 3 2 2 16" xfId="1219"/>
    <cellStyle name="Normal 2 3 2 2 17" xfId="1220"/>
    <cellStyle name="Normal 2 3 2 2 2" xfId="1221"/>
    <cellStyle name="Normal 2 3 2 2 2 2" xfId="1222"/>
    <cellStyle name="Normal 2 3 2 2 3" xfId="1223"/>
    <cellStyle name="Normal 2 3 2 2 4" xfId="1224"/>
    <cellStyle name="Normal 2 3 2 2 5" xfId="1225"/>
    <cellStyle name="Normal 2 3 2 2 6" xfId="1226"/>
    <cellStyle name="Normal 2 3 2 2 7" xfId="1227"/>
    <cellStyle name="Normal 2 3 2 2 8" xfId="1228"/>
    <cellStyle name="Normal 2 3 2 2 9" xfId="1229"/>
    <cellStyle name="Normal 2 3 2 3" xfId="1230"/>
    <cellStyle name="Normal 2 3 2 4" xfId="1231"/>
    <cellStyle name="Normal 2 3 2 4 2" xfId="1232"/>
    <cellStyle name="Normal 2 3 2 4 2 2" xfId="1233"/>
    <cellStyle name="Normal 2 3 2 4 2 3" xfId="1234"/>
    <cellStyle name="Normal 2 3 2 4 2 4" xfId="1235"/>
    <cellStyle name="Normal 2 3 2 4 2 5" xfId="1236"/>
    <cellStyle name="Normal 2 3 2 4 3" xfId="1237"/>
    <cellStyle name="Normal 2 3 2 4 3 2" xfId="1238"/>
    <cellStyle name="Normal 2 3 2 4 3 3" xfId="1239"/>
    <cellStyle name="Normal 2 3 2 4 3 4" xfId="1240"/>
    <cellStyle name="Normal 2 3 2 4 3 5" xfId="1241"/>
    <cellStyle name="Normal 2 3 2 4 4" xfId="1242"/>
    <cellStyle name="Normal 2 3 2 4 4 2" xfId="1243"/>
    <cellStyle name="Normal 2 3 2 4 4 3" xfId="1244"/>
    <cellStyle name="Normal 2 3 2 4 4 4" xfId="1245"/>
    <cellStyle name="Normal 2 3 2 4 4 5" xfId="1246"/>
    <cellStyle name="Normal 2 3 2 4 5" xfId="1247"/>
    <cellStyle name="Normal 2 3 2 4 6" xfId="1248"/>
    <cellStyle name="Normal 2 3 2 4 7" xfId="1249"/>
    <cellStyle name="Normal 2 3 2 4 8" xfId="1250"/>
    <cellStyle name="Normal 2 3 2 5" xfId="1251"/>
    <cellStyle name="Normal 2 3 2 5 2" xfId="1252"/>
    <cellStyle name="Normal 2 3 2 5 2 2" xfId="1253"/>
    <cellStyle name="Normal 2 3 2 5 2 3" xfId="1254"/>
    <cellStyle name="Normal 2 3 2 5 2 4" xfId="1255"/>
    <cellStyle name="Normal 2 3 2 5 2 5" xfId="1256"/>
    <cellStyle name="Normal 2 3 2 5 3" xfId="1257"/>
    <cellStyle name="Normal 2 3 2 5 3 2" xfId="1258"/>
    <cellStyle name="Normal 2 3 2 5 3 3" xfId="1259"/>
    <cellStyle name="Normal 2 3 2 5 3 4" xfId="1260"/>
    <cellStyle name="Normal 2 3 2 5 3 5" xfId="1261"/>
    <cellStyle name="Normal 2 3 2 5 4" xfId="1262"/>
    <cellStyle name="Normal 2 3 2 5 4 2" xfId="1263"/>
    <cellStyle name="Normal 2 3 2 5 4 3" xfId="1264"/>
    <cellStyle name="Normal 2 3 2 5 4 4" xfId="1265"/>
    <cellStyle name="Normal 2 3 2 5 4 5" xfId="1266"/>
    <cellStyle name="Normal 2 3 2 5 5" xfId="1267"/>
    <cellStyle name="Normal 2 3 2 5 6" xfId="1268"/>
    <cellStyle name="Normal 2 3 2 5 7" xfId="1269"/>
    <cellStyle name="Normal 2 3 2 5 8" xfId="1270"/>
    <cellStyle name="Normal 2 3 2 6" xfId="1271"/>
    <cellStyle name="Normal 2 3 2 6 2" xfId="1272"/>
    <cellStyle name="Normal 2 3 2 6 2 2" xfId="1273"/>
    <cellStyle name="Normal 2 3 2 6 2 3" xfId="1274"/>
    <cellStyle name="Normal 2 3 2 6 2 4" xfId="1275"/>
    <cellStyle name="Normal 2 3 2 6 2 5" xfId="1276"/>
    <cellStyle name="Normal 2 3 2 6 3" xfId="1277"/>
    <cellStyle name="Normal 2 3 2 6 3 2" xfId="1278"/>
    <cellStyle name="Normal 2 3 2 6 3 3" xfId="1279"/>
    <cellStyle name="Normal 2 3 2 6 3 4" xfId="1280"/>
    <cellStyle name="Normal 2 3 2 6 3 5" xfId="1281"/>
    <cellStyle name="Normal 2 3 2 6 4" xfId="1282"/>
    <cellStyle name="Normal 2 3 2 6 4 2" xfId="1283"/>
    <cellStyle name="Normal 2 3 2 6 4 3" xfId="1284"/>
    <cellStyle name="Normal 2 3 2 6 4 4" xfId="1285"/>
    <cellStyle name="Normal 2 3 2 6 4 5" xfId="1286"/>
    <cellStyle name="Normal 2 3 2 6 5" xfId="1287"/>
    <cellStyle name="Normal 2 3 2 6 6" xfId="1288"/>
    <cellStyle name="Normal 2 3 2 6 7" xfId="1289"/>
    <cellStyle name="Normal 2 3 2 6 8" xfId="1290"/>
    <cellStyle name="Normal 2 3 2 7" xfId="1291"/>
    <cellStyle name="Normal 2 3 2 7 2" xfId="1292"/>
    <cellStyle name="Normal 2 3 2 7 2 2" xfId="1293"/>
    <cellStyle name="Normal 2 3 2 7 2 3" xfId="1294"/>
    <cellStyle name="Normal 2 3 2 7 2 4" xfId="1295"/>
    <cellStyle name="Normal 2 3 2 7 2 5" xfId="1296"/>
    <cellStyle name="Normal 2 3 2 7 3" xfId="1297"/>
    <cellStyle name="Normal 2 3 2 7 3 2" xfId="1298"/>
    <cellStyle name="Normal 2 3 2 7 3 3" xfId="1299"/>
    <cellStyle name="Normal 2 3 2 7 3 4" xfId="1300"/>
    <cellStyle name="Normal 2 3 2 7 3 5" xfId="1301"/>
    <cellStyle name="Normal 2 3 2 7 4" xfId="1302"/>
    <cellStyle name="Normal 2 3 2 7 4 2" xfId="1303"/>
    <cellStyle name="Normal 2 3 2 7 4 3" xfId="1304"/>
    <cellStyle name="Normal 2 3 2 7 4 4" xfId="1305"/>
    <cellStyle name="Normal 2 3 2 7 4 5" xfId="1306"/>
    <cellStyle name="Normal 2 3 2 7 5" xfId="1307"/>
    <cellStyle name="Normal 2 3 2 7 6" xfId="1308"/>
    <cellStyle name="Normal 2 3 2 7 7" xfId="1309"/>
    <cellStyle name="Normal 2 3 2 7 8" xfId="1310"/>
    <cellStyle name="Normal 2 3 2 8" xfId="1311"/>
    <cellStyle name="Normal 2 3 2 8 2" xfId="1312"/>
    <cellStyle name="Normal 2 3 2 8 2 2" xfId="1313"/>
    <cellStyle name="Normal 2 3 2 8 2 3" xfId="1314"/>
    <cellStyle name="Normal 2 3 2 8 2 4" xfId="1315"/>
    <cellStyle name="Normal 2 3 2 8 2 5" xfId="1316"/>
    <cellStyle name="Normal 2 3 2 8 3" xfId="1317"/>
    <cellStyle name="Normal 2 3 2 8 3 2" xfId="1318"/>
    <cellStyle name="Normal 2 3 2 8 3 3" xfId="1319"/>
    <cellStyle name="Normal 2 3 2 8 3 4" xfId="1320"/>
    <cellStyle name="Normal 2 3 2 8 3 5" xfId="1321"/>
    <cellStyle name="Normal 2 3 2 8 4" xfId="1322"/>
    <cellStyle name="Normal 2 3 2 8 4 2" xfId="1323"/>
    <cellStyle name="Normal 2 3 2 8 4 3" xfId="1324"/>
    <cellStyle name="Normal 2 3 2 8 4 4" xfId="1325"/>
    <cellStyle name="Normal 2 3 2 8 4 5" xfId="1326"/>
    <cellStyle name="Normal 2 3 2 8 5" xfId="1327"/>
    <cellStyle name="Normal 2 3 2 8 6" xfId="1328"/>
    <cellStyle name="Normal 2 3 2 8 7" xfId="1329"/>
    <cellStyle name="Normal 2 3 2 8 8" xfId="1330"/>
    <cellStyle name="Normal 2 3 2 9" xfId="1331"/>
    <cellStyle name="Normal 2 3 2 9 2" xfId="1332"/>
    <cellStyle name="Normal 2 3 2 9 2 2" xfId="1333"/>
    <cellStyle name="Normal 2 3 2 9 2 3" xfId="1334"/>
    <cellStyle name="Normal 2 3 2 9 2 4" xfId="1335"/>
    <cellStyle name="Normal 2 3 2 9 2 5" xfId="1336"/>
    <cellStyle name="Normal 2 3 2 9 3" xfId="1337"/>
    <cellStyle name="Normal 2 3 2 9 3 2" xfId="1338"/>
    <cellStyle name="Normal 2 3 2 9 3 3" xfId="1339"/>
    <cellStyle name="Normal 2 3 2 9 3 4" xfId="1340"/>
    <cellStyle name="Normal 2 3 2 9 3 5" xfId="1341"/>
    <cellStyle name="Normal 2 3 2 9 4" xfId="1342"/>
    <cellStyle name="Normal 2 3 2 9 4 2" xfId="1343"/>
    <cellStyle name="Normal 2 3 2 9 4 3" xfId="1344"/>
    <cellStyle name="Normal 2 3 2 9 4 4" xfId="1345"/>
    <cellStyle name="Normal 2 3 2 9 4 5" xfId="1346"/>
    <cellStyle name="Normal 2 3 2 9 5" xfId="1347"/>
    <cellStyle name="Normal 2 3 2 9 6" xfId="1348"/>
    <cellStyle name="Normal 2 3 2 9 7" xfId="1349"/>
    <cellStyle name="Normal 2 3 2 9 8" xfId="1350"/>
    <cellStyle name="Normal 2 3 20" xfId="1351"/>
    <cellStyle name="Normal 2 3 20 2" xfId="1352"/>
    <cellStyle name="Normal 2 3 20 3" xfId="1353"/>
    <cellStyle name="Normal 2 3 20 4" xfId="1354"/>
    <cellStyle name="Normal 2 3 20 5" xfId="1355"/>
    <cellStyle name="Normal 2 3 21" xfId="1356"/>
    <cellStyle name="Normal 2 3 22" xfId="1357"/>
    <cellStyle name="Normal 2 3 23" xfId="1358"/>
    <cellStyle name="Normal 2 3 24" xfId="1359"/>
    <cellStyle name="Normal 2 3 3" xfId="1360"/>
    <cellStyle name="Normal 2 3 4" xfId="1361"/>
    <cellStyle name="Normal 2 3 5" xfId="1362"/>
    <cellStyle name="Normal 2 3 6" xfId="1363"/>
    <cellStyle name="Normal 2 3 7" xfId="1364"/>
    <cellStyle name="Normal 2 3 8" xfId="1365"/>
    <cellStyle name="Normal 2 3 8 10" xfId="1366"/>
    <cellStyle name="Normal 2 3 8 11" xfId="1367"/>
    <cellStyle name="Normal 2 3 8 12" xfId="1368"/>
    <cellStyle name="Normal 2 3 8 2" xfId="1369"/>
    <cellStyle name="Normal 2 3 8 2 2" xfId="1370"/>
    <cellStyle name="Normal 2 3 8 2 2 2" xfId="1371"/>
    <cellStyle name="Normal 2 3 8 2 2 3" xfId="1372"/>
    <cellStyle name="Normal 2 3 8 2 2 4" xfId="1373"/>
    <cellStyle name="Normal 2 3 8 2 2 5" xfId="1374"/>
    <cellStyle name="Normal 2 3 8 2 3" xfId="1375"/>
    <cellStyle name="Normal 2 3 8 2 3 2" xfId="1376"/>
    <cellStyle name="Normal 2 3 8 2 3 3" xfId="1377"/>
    <cellStyle name="Normal 2 3 8 2 3 4" xfId="1378"/>
    <cellStyle name="Normal 2 3 8 2 3 5" xfId="1379"/>
    <cellStyle name="Normal 2 3 8 2 4" xfId="1380"/>
    <cellStyle name="Normal 2 3 8 2 4 2" xfId="1381"/>
    <cellStyle name="Normal 2 3 8 2 4 3" xfId="1382"/>
    <cellStyle name="Normal 2 3 8 2 4 4" xfId="1383"/>
    <cellStyle name="Normal 2 3 8 2 4 5" xfId="1384"/>
    <cellStyle name="Normal 2 3 8 2 5" xfId="1385"/>
    <cellStyle name="Normal 2 3 8 2 6" xfId="1386"/>
    <cellStyle name="Normal 2 3 8 2 7" xfId="1387"/>
    <cellStyle name="Normal 2 3 8 2 8" xfId="1388"/>
    <cellStyle name="Normal 2 3 8 3" xfId="1389"/>
    <cellStyle name="Normal 2 3 8 3 2" xfId="1390"/>
    <cellStyle name="Normal 2 3 8 3 2 2" xfId="1391"/>
    <cellStyle name="Normal 2 3 8 3 2 3" xfId="1392"/>
    <cellStyle name="Normal 2 3 8 3 2 4" xfId="1393"/>
    <cellStyle name="Normal 2 3 8 3 2 5" xfId="1394"/>
    <cellStyle name="Normal 2 3 8 3 3" xfId="1395"/>
    <cellStyle name="Normal 2 3 8 3 3 2" xfId="1396"/>
    <cellStyle name="Normal 2 3 8 3 3 3" xfId="1397"/>
    <cellStyle name="Normal 2 3 8 3 3 4" xfId="1398"/>
    <cellStyle name="Normal 2 3 8 3 3 5" xfId="1399"/>
    <cellStyle name="Normal 2 3 8 3 4" xfId="1400"/>
    <cellStyle name="Normal 2 3 8 3 4 2" xfId="1401"/>
    <cellStyle name="Normal 2 3 8 3 4 3" xfId="1402"/>
    <cellStyle name="Normal 2 3 8 3 4 4" xfId="1403"/>
    <cellStyle name="Normal 2 3 8 3 4 5" xfId="1404"/>
    <cellStyle name="Normal 2 3 8 3 5" xfId="1405"/>
    <cellStyle name="Normal 2 3 8 3 6" xfId="1406"/>
    <cellStyle name="Normal 2 3 8 3 7" xfId="1407"/>
    <cellStyle name="Normal 2 3 8 3 8" xfId="1408"/>
    <cellStyle name="Normal 2 3 8 4" xfId="1409"/>
    <cellStyle name="Normal 2 3 8 4 2" xfId="1410"/>
    <cellStyle name="Normal 2 3 8 4 2 2" xfId="1411"/>
    <cellStyle name="Normal 2 3 8 4 2 3" xfId="1412"/>
    <cellStyle name="Normal 2 3 8 4 2 4" xfId="1413"/>
    <cellStyle name="Normal 2 3 8 4 2 5" xfId="1414"/>
    <cellStyle name="Normal 2 3 8 4 3" xfId="1415"/>
    <cellStyle name="Normal 2 3 8 4 3 2" xfId="1416"/>
    <cellStyle name="Normal 2 3 8 4 3 3" xfId="1417"/>
    <cellStyle name="Normal 2 3 8 4 3 4" xfId="1418"/>
    <cellStyle name="Normal 2 3 8 4 3 5" xfId="1419"/>
    <cellStyle name="Normal 2 3 8 4 4" xfId="1420"/>
    <cellStyle name="Normal 2 3 8 4 4 2" xfId="1421"/>
    <cellStyle name="Normal 2 3 8 4 4 3" xfId="1422"/>
    <cellStyle name="Normal 2 3 8 4 4 4" xfId="1423"/>
    <cellStyle name="Normal 2 3 8 4 4 5" xfId="1424"/>
    <cellStyle name="Normal 2 3 8 4 5" xfId="1425"/>
    <cellStyle name="Normal 2 3 8 4 6" xfId="1426"/>
    <cellStyle name="Normal 2 3 8 4 7" xfId="1427"/>
    <cellStyle name="Normal 2 3 8 4 8" xfId="1428"/>
    <cellStyle name="Normal 2 3 8 5" xfId="1429"/>
    <cellStyle name="Normal 2 3 8 5 2" xfId="1430"/>
    <cellStyle name="Normal 2 3 8 5 2 2" xfId="1431"/>
    <cellStyle name="Normal 2 3 8 5 2 3" xfId="1432"/>
    <cellStyle name="Normal 2 3 8 5 2 4" xfId="1433"/>
    <cellStyle name="Normal 2 3 8 5 2 5" xfId="1434"/>
    <cellStyle name="Normal 2 3 8 5 3" xfId="1435"/>
    <cellStyle name="Normal 2 3 8 5 3 2" xfId="1436"/>
    <cellStyle name="Normal 2 3 8 5 3 3" xfId="1437"/>
    <cellStyle name="Normal 2 3 8 5 3 4" xfId="1438"/>
    <cellStyle name="Normal 2 3 8 5 3 5" xfId="1439"/>
    <cellStyle name="Normal 2 3 8 5 4" xfId="1440"/>
    <cellStyle name="Normal 2 3 8 5 4 2" xfId="1441"/>
    <cellStyle name="Normal 2 3 8 5 4 3" xfId="1442"/>
    <cellStyle name="Normal 2 3 8 5 4 4" xfId="1443"/>
    <cellStyle name="Normal 2 3 8 5 4 5" xfId="1444"/>
    <cellStyle name="Normal 2 3 8 5 5" xfId="1445"/>
    <cellStyle name="Normal 2 3 8 5 6" xfId="1446"/>
    <cellStyle name="Normal 2 3 8 5 7" xfId="1447"/>
    <cellStyle name="Normal 2 3 8 5 8" xfId="1448"/>
    <cellStyle name="Normal 2 3 8 6" xfId="1449"/>
    <cellStyle name="Normal 2 3 8 6 2" xfId="1450"/>
    <cellStyle name="Normal 2 3 8 6 3" xfId="1451"/>
    <cellStyle name="Normal 2 3 8 6 4" xfId="1452"/>
    <cellStyle name="Normal 2 3 8 6 5" xfId="1453"/>
    <cellStyle name="Normal 2 3 8 7" xfId="1454"/>
    <cellStyle name="Normal 2 3 8 7 2" xfId="1455"/>
    <cellStyle name="Normal 2 3 8 7 3" xfId="1456"/>
    <cellStyle name="Normal 2 3 8 7 4" xfId="1457"/>
    <cellStyle name="Normal 2 3 8 7 5" xfId="1458"/>
    <cellStyle name="Normal 2 3 8 8" xfId="1459"/>
    <cellStyle name="Normal 2 3 8 8 2" xfId="1460"/>
    <cellStyle name="Normal 2 3 8 8 3" xfId="1461"/>
    <cellStyle name="Normal 2 3 8 8 4" xfId="1462"/>
    <cellStyle name="Normal 2 3 8 8 5" xfId="1463"/>
    <cellStyle name="Normal 2 3 8 9" xfId="1464"/>
    <cellStyle name="Normal 2 3 9" xfId="1465"/>
    <cellStyle name="Normal 2 30" xfId="1466"/>
    <cellStyle name="Normal 2 30 2" xfId="1467"/>
    <cellStyle name="Normal 2 30 3" xfId="1468"/>
    <cellStyle name="Normal 2 31" xfId="1469"/>
    <cellStyle name="Normal 2 31 2" xfId="1470"/>
    <cellStyle name="Normal 2 31 3" xfId="1471"/>
    <cellStyle name="Normal 2 32" xfId="1472"/>
    <cellStyle name="Normal 2 32 2" xfId="1473"/>
    <cellStyle name="Normal 2 32 3" xfId="1474"/>
    <cellStyle name="Normal 2 33" xfId="1475"/>
    <cellStyle name="Normal 2 33 2" xfId="1476"/>
    <cellStyle name="Normal 2 33 3" xfId="1477"/>
    <cellStyle name="Normal 2 34" xfId="1478"/>
    <cellStyle name="Normal 2 34 2" xfId="1479"/>
    <cellStyle name="Normal 2 34 3" xfId="1480"/>
    <cellStyle name="Normal 2 35" xfId="1481"/>
    <cellStyle name="Normal 2 35 2" xfId="1482"/>
    <cellStyle name="Normal 2 35 3" xfId="1483"/>
    <cellStyle name="Normal 2 36" xfId="1484"/>
    <cellStyle name="Normal 2 36 2" xfId="1485"/>
    <cellStyle name="Normal 2 36 3" xfId="1486"/>
    <cellStyle name="Normal 2 37" xfId="1487"/>
    <cellStyle name="Normal 2 37 2" xfId="1488"/>
    <cellStyle name="Normal 2 37 3" xfId="1489"/>
    <cellStyle name="Normal 2 38" xfId="1490"/>
    <cellStyle name="Normal 2 38 2" xfId="1491"/>
    <cellStyle name="Normal 2 38 3" xfId="1492"/>
    <cellStyle name="Normal 2 39" xfId="1493"/>
    <cellStyle name="Normal 2 39 2" xfId="1494"/>
    <cellStyle name="Normal 2 39 3" xfId="1495"/>
    <cellStyle name="Normal 2 4" xfId="1496"/>
    <cellStyle name="Normal 2 4 10" xfId="1497"/>
    <cellStyle name="Normal 2 4 11" xfId="1498"/>
    <cellStyle name="Normal 2 4 12" xfId="1499"/>
    <cellStyle name="Normal 2 4 12 10" xfId="1500"/>
    <cellStyle name="Normal 2 4 12 11" xfId="1501"/>
    <cellStyle name="Normal 2 4 12 12" xfId="1502"/>
    <cellStyle name="Normal 2 4 12 2" xfId="1503"/>
    <cellStyle name="Normal 2 4 12 2 2" xfId="1504"/>
    <cellStyle name="Normal 2 4 12 2 2 2" xfId="1505"/>
    <cellStyle name="Normal 2 4 12 2 2 3" xfId="1506"/>
    <cellStyle name="Normal 2 4 12 2 2 4" xfId="1507"/>
    <cellStyle name="Normal 2 4 12 2 2 5" xfId="1508"/>
    <cellStyle name="Normal 2 4 12 2 3" xfId="1509"/>
    <cellStyle name="Normal 2 4 12 2 3 2" xfId="1510"/>
    <cellStyle name="Normal 2 4 12 2 3 3" xfId="1511"/>
    <cellStyle name="Normal 2 4 12 2 3 4" xfId="1512"/>
    <cellStyle name="Normal 2 4 12 2 3 5" xfId="1513"/>
    <cellStyle name="Normal 2 4 12 2 4" xfId="1514"/>
    <cellStyle name="Normal 2 4 12 2 4 2" xfId="1515"/>
    <cellStyle name="Normal 2 4 12 2 4 3" xfId="1516"/>
    <cellStyle name="Normal 2 4 12 2 4 4" xfId="1517"/>
    <cellStyle name="Normal 2 4 12 2 4 5" xfId="1518"/>
    <cellStyle name="Normal 2 4 12 2 5" xfId="1519"/>
    <cellStyle name="Normal 2 4 12 2 6" xfId="1520"/>
    <cellStyle name="Normal 2 4 12 2 7" xfId="1521"/>
    <cellStyle name="Normal 2 4 12 2 8" xfId="1522"/>
    <cellStyle name="Normal 2 4 12 3" xfId="1523"/>
    <cellStyle name="Normal 2 4 12 3 2" xfId="1524"/>
    <cellStyle name="Normal 2 4 12 3 2 2" xfId="1525"/>
    <cellStyle name="Normal 2 4 12 3 2 3" xfId="1526"/>
    <cellStyle name="Normal 2 4 12 3 2 4" xfId="1527"/>
    <cellStyle name="Normal 2 4 12 3 2 5" xfId="1528"/>
    <cellStyle name="Normal 2 4 12 3 3" xfId="1529"/>
    <cellStyle name="Normal 2 4 12 3 3 2" xfId="1530"/>
    <cellStyle name="Normal 2 4 12 3 3 3" xfId="1531"/>
    <cellStyle name="Normal 2 4 12 3 3 4" xfId="1532"/>
    <cellStyle name="Normal 2 4 12 3 3 5" xfId="1533"/>
    <cellStyle name="Normal 2 4 12 3 4" xfId="1534"/>
    <cellStyle name="Normal 2 4 12 3 4 2" xfId="1535"/>
    <cellStyle name="Normal 2 4 12 3 4 3" xfId="1536"/>
    <cellStyle name="Normal 2 4 12 3 4 4" xfId="1537"/>
    <cellStyle name="Normal 2 4 12 3 4 5" xfId="1538"/>
    <cellStyle name="Normal 2 4 12 3 5" xfId="1539"/>
    <cellStyle name="Normal 2 4 12 3 6" xfId="1540"/>
    <cellStyle name="Normal 2 4 12 3 7" xfId="1541"/>
    <cellStyle name="Normal 2 4 12 3 8" xfId="1542"/>
    <cellStyle name="Normal 2 4 12 4" xfId="1543"/>
    <cellStyle name="Normal 2 4 12 4 2" xfId="1544"/>
    <cellStyle name="Normal 2 4 12 4 2 2" xfId="1545"/>
    <cellStyle name="Normal 2 4 12 4 2 3" xfId="1546"/>
    <cellStyle name="Normal 2 4 12 4 2 4" xfId="1547"/>
    <cellStyle name="Normal 2 4 12 4 2 5" xfId="1548"/>
    <cellStyle name="Normal 2 4 12 4 3" xfId="1549"/>
    <cellStyle name="Normal 2 4 12 4 3 2" xfId="1550"/>
    <cellStyle name="Normal 2 4 12 4 3 3" xfId="1551"/>
    <cellStyle name="Normal 2 4 12 4 3 4" xfId="1552"/>
    <cellStyle name="Normal 2 4 12 4 3 5" xfId="1553"/>
    <cellStyle name="Normal 2 4 12 4 4" xfId="1554"/>
    <cellStyle name="Normal 2 4 12 4 4 2" xfId="1555"/>
    <cellStyle name="Normal 2 4 12 4 4 3" xfId="1556"/>
    <cellStyle name="Normal 2 4 12 4 4 4" xfId="1557"/>
    <cellStyle name="Normal 2 4 12 4 4 5" xfId="1558"/>
    <cellStyle name="Normal 2 4 12 4 5" xfId="1559"/>
    <cellStyle name="Normal 2 4 12 4 6" xfId="1560"/>
    <cellStyle name="Normal 2 4 12 4 7" xfId="1561"/>
    <cellStyle name="Normal 2 4 12 4 8" xfId="1562"/>
    <cellStyle name="Normal 2 4 12 5" xfId="1563"/>
    <cellStyle name="Normal 2 4 12 5 2" xfId="1564"/>
    <cellStyle name="Normal 2 4 12 5 2 2" xfId="1565"/>
    <cellStyle name="Normal 2 4 12 5 2 3" xfId="1566"/>
    <cellStyle name="Normal 2 4 12 5 2 4" xfId="1567"/>
    <cellStyle name="Normal 2 4 12 5 2 5" xfId="1568"/>
    <cellStyle name="Normal 2 4 12 5 3" xfId="1569"/>
    <cellStyle name="Normal 2 4 12 5 3 2" xfId="1570"/>
    <cellStyle name="Normal 2 4 12 5 3 3" xfId="1571"/>
    <cellStyle name="Normal 2 4 12 5 3 4" xfId="1572"/>
    <cellStyle name="Normal 2 4 12 5 3 5" xfId="1573"/>
    <cellStyle name="Normal 2 4 12 5 4" xfId="1574"/>
    <cellStyle name="Normal 2 4 12 5 4 2" xfId="1575"/>
    <cellStyle name="Normal 2 4 12 5 4 3" xfId="1576"/>
    <cellStyle name="Normal 2 4 12 5 4 4" xfId="1577"/>
    <cellStyle name="Normal 2 4 12 5 4 5" xfId="1578"/>
    <cellStyle name="Normal 2 4 12 5 5" xfId="1579"/>
    <cellStyle name="Normal 2 4 12 5 6" xfId="1580"/>
    <cellStyle name="Normal 2 4 12 5 7" xfId="1581"/>
    <cellStyle name="Normal 2 4 12 5 8" xfId="1582"/>
    <cellStyle name="Normal 2 4 12 6" xfId="1583"/>
    <cellStyle name="Normal 2 4 12 6 2" xfId="1584"/>
    <cellStyle name="Normal 2 4 12 6 3" xfId="1585"/>
    <cellStyle name="Normal 2 4 12 6 4" xfId="1586"/>
    <cellStyle name="Normal 2 4 12 6 5" xfId="1587"/>
    <cellStyle name="Normal 2 4 12 7" xfId="1588"/>
    <cellStyle name="Normal 2 4 12 7 2" xfId="1589"/>
    <cellStyle name="Normal 2 4 12 7 3" xfId="1590"/>
    <cellStyle name="Normal 2 4 12 7 4" xfId="1591"/>
    <cellStyle name="Normal 2 4 12 7 5" xfId="1592"/>
    <cellStyle name="Normal 2 4 12 8" xfId="1593"/>
    <cellStyle name="Normal 2 4 12 8 2" xfId="1594"/>
    <cellStyle name="Normal 2 4 12 8 3" xfId="1595"/>
    <cellStyle name="Normal 2 4 12 8 4" xfId="1596"/>
    <cellStyle name="Normal 2 4 12 8 5" xfId="1597"/>
    <cellStyle name="Normal 2 4 12 9" xfId="1598"/>
    <cellStyle name="Normal 2 4 13" xfId="1599"/>
    <cellStyle name="Normal 2 4 14" xfId="1600"/>
    <cellStyle name="Normal 2 4 15" xfId="1601"/>
    <cellStyle name="Normal 2 4 16" xfId="1602"/>
    <cellStyle name="Normal 2 4 17" xfId="1603"/>
    <cellStyle name="Normal 2 4 18" xfId="1604"/>
    <cellStyle name="Normal 2 4 19" xfId="1605"/>
    <cellStyle name="Normal 2 4 2" xfId="1606"/>
    <cellStyle name="Normal 2 4 2 10" xfId="1607"/>
    <cellStyle name="Normal 2 4 2 10 2" xfId="1608"/>
    <cellStyle name="Normal 2 4 2 10 2 2" xfId="1609"/>
    <cellStyle name="Normal 2 4 2 10 2 3" xfId="1610"/>
    <cellStyle name="Normal 2 4 2 10 2 4" xfId="1611"/>
    <cellStyle name="Normal 2 4 2 10 2 5" xfId="1612"/>
    <cellStyle name="Normal 2 4 2 10 3" xfId="1613"/>
    <cellStyle name="Normal 2 4 2 10 3 2" xfId="1614"/>
    <cellStyle name="Normal 2 4 2 10 3 3" xfId="1615"/>
    <cellStyle name="Normal 2 4 2 10 3 4" xfId="1616"/>
    <cellStyle name="Normal 2 4 2 10 3 5" xfId="1617"/>
    <cellStyle name="Normal 2 4 2 10 4" xfId="1618"/>
    <cellStyle name="Normal 2 4 2 10 4 2" xfId="1619"/>
    <cellStyle name="Normal 2 4 2 10 4 3" xfId="1620"/>
    <cellStyle name="Normal 2 4 2 10 4 4" xfId="1621"/>
    <cellStyle name="Normal 2 4 2 10 4 5" xfId="1622"/>
    <cellStyle name="Normal 2 4 2 10 5" xfId="1623"/>
    <cellStyle name="Normal 2 4 2 10 6" xfId="1624"/>
    <cellStyle name="Normal 2 4 2 10 7" xfId="1625"/>
    <cellStyle name="Normal 2 4 2 10 8" xfId="1626"/>
    <cellStyle name="Normal 2 4 2 11" xfId="1627"/>
    <cellStyle name="Normal 2 4 2 11 2" xfId="1628"/>
    <cellStyle name="Normal 2 4 2 11 2 2" xfId="1629"/>
    <cellStyle name="Normal 2 4 2 11 2 3" xfId="1630"/>
    <cellStyle name="Normal 2 4 2 11 2 4" xfId="1631"/>
    <cellStyle name="Normal 2 4 2 11 2 5" xfId="1632"/>
    <cellStyle name="Normal 2 4 2 11 3" xfId="1633"/>
    <cellStyle name="Normal 2 4 2 11 3 2" xfId="1634"/>
    <cellStyle name="Normal 2 4 2 11 3 3" xfId="1635"/>
    <cellStyle name="Normal 2 4 2 11 3 4" xfId="1636"/>
    <cellStyle name="Normal 2 4 2 11 3 5" xfId="1637"/>
    <cellStyle name="Normal 2 4 2 11 4" xfId="1638"/>
    <cellStyle name="Normal 2 4 2 11 4 2" xfId="1639"/>
    <cellStyle name="Normal 2 4 2 11 4 3" xfId="1640"/>
    <cellStyle name="Normal 2 4 2 11 4 4" xfId="1641"/>
    <cellStyle name="Normal 2 4 2 11 4 5" xfId="1642"/>
    <cellStyle name="Normal 2 4 2 11 5" xfId="1643"/>
    <cellStyle name="Normal 2 4 2 11 6" xfId="1644"/>
    <cellStyle name="Normal 2 4 2 11 7" xfId="1645"/>
    <cellStyle name="Normal 2 4 2 11 8" xfId="1646"/>
    <cellStyle name="Normal 2 4 2 12" xfId="1647"/>
    <cellStyle name="Normal 2 4 2 12 2" xfId="1648"/>
    <cellStyle name="Normal 2 4 2 12 3" xfId="1649"/>
    <cellStyle name="Normal 2 4 2 12 4" xfId="1650"/>
    <cellStyle name="Normal 2 4 2 12 5" xfId="1651"/>
    <cellStyle name="Normal 2 4 2 13" xfId="1652"/>
    <cellStyle name="Normal 2 4 2 13 2" xfId="1653"/>
    <cellStyle name="Normal 2 4 2 13 3" xfId="1654"/>
    <cellStyle name="Normal 2 4 2 13 4" xfId="1655"/>
    <cellStyle name="Normal 2 4 2 13 5" xfId="1656"/>
    <cellStyle name="Normal 2 4 2 14" xfId="1657"/>
    <cellStyle name="Normal 2 4 2 14 2" xfId="1658"/>
    <cellStyle name="Normal 2 4 2 14 3" xfId="1659"/>
    <cellStyle name="Normal 2 4 2 14 4" xfId="1660"/>
    <cellStyle name="Normal 2 4 2 14 5" xfId="1661"/>
    <cellStyle name="Normal 2 4 2 15" xfId="1662"/>
    <cellStyle name="Normal 2 4 2 16" xfId="1663"/>
    <cellStyle name="Normal 2 4 2 17" xfId="1664"/>
    <cellStyle name="Normal 2 4 2 18" xfId="1665"/>
    <cellStyle name="Normal 2 4 2 2" xfId="1666"/>
    <cellStyle name="Normal 2 4 2 2 2" xfId="1667"/>
    <cellStyle name="Normal 2 4 2 2 2 2" xfId="1668"/>
    <cellStyle name="Normal 2 4 2 2 2 3" xfId="1669"/>
    <cellStyle name="Normal 2 4 2 2 2 4" xfId="1670"/>
    <cellStyle name="Normal 2 4 2 2 2 5" xfId="1671"/>
    <cellStyle name="Normal 2 4 2 2 3" xfId="1672"/>
    <cellStyle name="Normal 2 4 2 2 3 2" xfId="1673"/>
    <cellStyle name="Normal 2 4 2 2 3 3" xfId="1674"/>
    <cellStyle name="Normal 2 4 2 2 3 4" xfId="1675"/>
    <cellStyle name="Normal 2 4 2 2 3 5" xfId="1676"/>
    <cellStyle name="Normal 2 4 2 2 4" xfId="1677"/>
    <cellStyle name="Normal 2 4 2 2 4 2" xfId="1678"/>
    <cellStyle name="Normal 2 4 2 2 4 3" xfId="1679"/>
    <cellStyle name="Normal 2 4 2 2 4 4" xfId="1680"/>
    <cellStyle name="Normal 2 4 2 2 4 5" xfId="1681"/>
    <cellStyle name="Normal 2 4 2 2 5" xfId="1682"/>
    <cellStyle name="Normal 2 4 2 2 6" xfId="1683"/>
    <cellStyle name="Normal 2 4 2 2 7" xfId="1684"/>
    <cellStyle name="Normal 2 4 2 2 8" xfId="1685"/>
    <cellStyle name="Normal 2 4 2 3" xfId="1686"/>
    <cellStyle name="Normal 2 4 2 3 2" xfId="1687"/>
    <cellStyle name="Normal 2 4 2 3 2 2" xfId="1688"/>
    <cellStyle name="Normal 2 4 2 3 2 3" xfId="1689"/>
    <cellStyle name="Normal 2 4 2 3 2 4" xfId="1690"/>
    <cellStyle name="Normal 2 4 2 3 2 5" xfId="1691"/>
    <cellStyle name="Normal 2 4 2 3 3" xfId="1692"/>
    <cellStyle name="Normal 2 4 2 3 3 2" xfId="1693"/>
    <cellStyle name="Normal 2 4 2 3 3 3" xfId="1694"/>
    <cellStyle name="Normal 2 4 2 3 3 4" xfId="1695"/>
    <cellStyle name="Normal 2 4 2 3 3 5" xfId="1696"/>
    <cellStyle name="Normal 2 4 2 3 4" xfId="1697"/>
    <cellStyle name="Normal 2 4 2 3 4 2" xfId="1698"/>
    <cellStyle name="Normal 2 4 2 3 4 3" xfId="1699"/>
    <cellStyle name="Normal 2 4 2 3 4 4" xfId="1700"/>
    <cellStyle name="Normal 2 4 2 3 4 5" xfId="1701"/>
    <cellStyle name="Normal 2 4 2 3 5" xfId="1702"/>
    <cellStyle name="Normal 2 4 2 3 6" xfId="1703"/>
    <cellStyle name="Normal 2 4 2 3 7" xfId="1704"/>
    <cellStyle name="Normal 2 4 2 3 8" xfId="1705"/>
    <cellStyle name="Normal 2 4 2 4" xfId="1706"/>
    <cellStyle name="Normal 2 4 2 4 2" xfId="1707"/>
    <cellStyle name="Normal 2 4 2 4 2 2" xfId="1708"/>
    <cellStyle name="Normal 2 4 2 4 2 3" xfId="1709"/>
    <cellStyle name="Normal 2 4 2 4 2 4" xfId="1710"/>
    <cellStyle name="Normal 2 4 2 4 2 5" xfId="1711"/>
    <cellStyle name="Normal 2 4 2 4 3" xfId="1712"/>
    <cellStyle name="Normal 2 4 2 4 3 2" xfId="1713"/>
    <cellStyle name="Normal 2 4 2 4 3 3" xfId="1714"/>
    <cellStyle name="Normal 2 4 2 4 3 4" xfId="1715"/>
    <cellStyle name="Normal 2 4 2 4 3 5" xfId="1716"/>
    <cellStyle name="Normal 2 4 2 4 4" xfId="1717"/>
    <cellStyle name="Normal 2 4 2 4 4 2" xfId="1718"/>
    <cellStyle name="Normal 2 4 2 4 4 3" xfId="1719"/>
    <cellStyle name="Normal 2 4 2 4 4 4" xfId="1720"/>
    <cellStyle name="Normal 2 4 2 4 4 5" xfId="1721"/>
    <cellStyle name="Normal 2 4 2 4 5" xfId="1722"/>
    <cellStyle name="Normal 2 4 2 4 6" xfId="1723"/>
    <cellStyle name="Normal 2 4 2 4 7" xfId="1724"/>
    <cellStyle name="Normal 2 4 2 4 8" xfId="1725"/>
    <cellStyle name="Normal 2 4 2 5" xfId="1726"/>
    <cellStyle name="Normal 2 4 2 5 2" xfId="1727"/>
    <cellStyle name="Normal 2 4 2 5 2 2" xfId="1728"/>
    <cellStyle name="Normal 2 4 2 5 2 3" xfId="1729"/>
    <cellStyle name="Normal 2 4 2 5 2 4" xfId="1730"/>
    <cellStyle name="Normal 2 4 2 5 2 5" xfId="1731"/>
    <cellStyle name="Normal 2 4 2 5 3" xfId="1732"/>
    <cellStyle name="Normal 2 4 2 5 3 2" xfId="1733"/>
    <cellStyle name="Normal 2 4 2 5 3 3" xfId="1734"/>
    <cellStyle name="Normal 2 4 2 5 3 4" xfId="1735"/>
    <cellStyle name="Normal 2 4 2 5 3 5" xfId="1736"/>
    <cellStyle name="Normal 2 4 2 5 4" xfId="1737"/>
    <cellStyle name="Normal 2 4 2 5 4 2" xfId="1738"/>
    <cellStyle name="Normal 2 4 2 5 4 3" xfId="1739"/>
    <cellStyle name="Normal 2 4 2 5 4 4" xfId="1740"/>
    <cellStyle name="Normal 2 4 2 5 4 5" xfId="1741"/>
    <cellStyle name="Normal 2 4 2 5 5" xfId="1742"/>
    <cellStyle name="Normal 2 4 2 5 6" xfId="1743"/>
    <cellStyle name="Normal 2 4 2 5 7" xfId="1744"/>
    <cellStyle name="Normal 2 4 2 5 8" xfId="1745"/>
    <cellStyle name="Normal 2 4 2 6" xfId="1746"/>
    <cellStyle name="Normal 2 4 2 6 2" xfId="1747"/>
    <cellStyle name="Normal 2 4 2 6 2 2" xfId="1748"/>
    <cellStyle name="Normal 2 4 2 6 2 3" xfId="1749"/>
    <cellStyle name="Normal 2 4 2 6 2 4" xfId="1750"/>
    <cellStyle name="Normal 2 4 2 6 2 5" xfId="1751"/>
    <cellStyle name="Normal 2 4 2 6 3" xfId="1752"/>
    <cellStyle name="Normal 2 4 2 6 3 2" xfId="1753"/>
    <cellStyle name="Normal 2 4 2 6 3 3" xfId="1754"/>
    <cellStyle name="Normal 2 4 2 6 3 4" xfId="1755"/>
    <cellStyle name="Normal 2 4 2 6 3 5" xfId="1756"/>
    <cellStyle name="Normal 2 4 2 6 4" xfId="1757"/>
    <cellStyle name="Normal 2 4 2 6 4 2" xfId="1758"/>
    <cellStyle name="Normal 2 4 2 6 4 3" xfId="1759"/>
    <cellStyle name="Normal 2 4 2 6 4 4" xfId="1760"/>
    <cellStyle name="Normal 2 4 2 6 4 5" xfId="1761"/>
    <cellStyle name="Normal 2 4 2 6 5" xfId="1762"/>
    <cellStyle name="Normal 2 4 2 6 6" xfId="1763"/>
    <cellStyle name="Normal 2 4 2 6 7" xfId="1764"/>
    <cellStyle name="Normal 2 4 2 6 8" xfId="1765"/>
    <cellStyle name="Normal 2 4 2 7" xfId="1766"/>
    <cellStyle name="Normal 2 4 2 7 2" xfId="1767"/>
    <cellStyle name="Normal 2 4 2 7 2 2" xfId="1768"/>
    <cellStyle name="Normal 2 4 2 7 2 3" xfId="1769"/>
    <cellStyle name="Normal 2 4 2 7 2 4" xfId="1770"/>
    <cellStyle name="Normal 2 4 2 7 2 5" xfId="1771"/>
    <cellStyle name="Normal 2 4 2 7 3" xfId="1772"/>
    <cellStyle name="Normal 2 4 2 7 3 2" xfId="1773"/>
    <cellStyle name="Normal 2 4 2 7 3 3" xfId="1774"/>
    <cellStyle name="Normal 2 4 2 7 3 4" xfId="1775"/>
    <cellStyle name="Normal 2 4 2 7 3 5" xfId="1776"/>
    <cellStyle name="Normal 2 4 2 7 4" xfId="1777"/>
    <cellStyle name="Normal 2 4 2 7 4 2" xfId="1778"/>
    <cellStyle name="Normal 2 4 2 7 4 3" xfId="1779"/>
    <cellStyle name="Normal 2 4 2 7 4 4" xfId="1780"/>
    <cellStyle name="Normal 2 4 2 7 4 5" xfId="1781"/>
    <cellStyle name="Normal 2 4 2 7 5" xfId="1782"/>
    <cellStyle name="Normal 2 4 2 7 6" xfId="1783"/>
    <cellStyle name="Normal 2 4 2 7 7" xfId="1784"/>
    <cellStyle name="Normal 2 4 2 7 8" xfId="1785"/>
    <cellStyle name="Normal 2 4 2 8" xfId="1786"/>
    <cellStyle name="Normal 2 4 2 8 2" xfId="1787"/>
    <cellStyle name="Normal 2 4 2 8 2 2" xfId="1788"/>
    <cellStyle name="Normal 2 4 2 8 2 3" xfId="1789"/>
    <cellStyle name="Normal 2 4 2 8 2 4" xfId="1790"/>
    <cellStyle name="Normal 2 4 2 8 2 5" xfId="1791"/>
    <cellStyle name="Normal 2 4 2 8 3" xfId="1792"/>
    <cellStyle name="Normal 2 4 2 8 3 2" xfId="1793"/>
    <cellStyle name="Normal 2 4 2 8 3 3" xfId="1794"/>
    <cellStyle name="Normal 2 4 2 8 3 4" xfId="1795"/>
    <cellStyle name="Normal 2 4 2 8 3 5" xfId="1796"/>
    <cellStyle name="Normal 2 4 2 8 4" xfId="1797"/>
    <cellStyle name="Normal 2 4 2 8 4 2" xfId="1798"/>
    <cellStyle name="Normal 2 4 2 8 4 3" xfId="1799"/>
    <cellStyle name="Normal 2 4 2 8 4 4" xfId="1800"/>
    <cellStyle name="Normal 2 4 2 8 4 5" xfId="1801"/>
    <cellStyle name="Normal 2 4 2 8 5" xfId="1802"/>
    <cellStyle name="Normal 2 4 2 8 6" xfId="1803"/>
    <cellStyle name="Normal 2 4 2 8 7" xfId="1804"/>
    <cellStyle name="Normal 2 4 2 8 8" xfId="1805"/>
    <cellStyle name="Normal 2 4 2 9" xfId="1806"/>
    <cellStyle name="Normal 2 4 2 9 2" xfId="1807"/>
    <cellStyle name="Normal 2 4 2 9 2 2" xfId="1808"/>
    <cellStyle name="Normal 2 4 2 9 2 3" xfId="1809"/>
    <cellStyle name="Normal 2 4 2 9 2 4" xfId="1810"/>
    <cellStyle name="Normal 2 4 2 9 2 5" xfId="1811"/>
    <cellStyle name="Normal 2 4 2 9 3" xfId="1812"/>
    <cellStyle name="Normal 2 4 2 9 3 2" xfId="1813"/>
    <cellStyle name="Normal 2 4 2 9 3 3" xfId="1814"/>
    <cellStyle name="Normal 2 4 2 9 3 4" xfId="1815"/>
    <cellStyle name="Normal 2 4 2 9 3 5" xfId="1816"/>
    <cellStyle name="Normal 2 4 2 9 4" xfId="1817"/>
    <cellStyle name="Normal 2 4 2 9 4 2" xfId="1818"/>
    <cellStyle name="Normal 2 4 2 9 4 3" xfId="1819"/>
    <cellStyle name="Normal 2 4 2 9 4 4" xfId="1820"/>
    <cellStyle name="Normal 2 4 2 9 4 5" xfId="1821"/>
    <cellStyle name="Normal 2 4 2 9 5" xfId="1822"/>
    <cellStyle name="Normal 2 4 2 9 6" xfId="1823"/>
    <cellStyle name="Normal 2 4 2 9 7" xfId="1824"/>
    <cellStyle name="Normal 2 4 2 9 8" xfId="1825"/>
    <cellStyle name="Normal 2 4 20" xfId="1826"/>
    <cellStyle name="Normal 2 4 21" xfId="1827"/>
    <cellStyle name="Normal 2 4 22" xfId="1828"/>
    <cellStyle name="Normal 2 4 22 2" xfId="1829"/>
    <cellStyle name="Normal 2 4 22 3" xfId="1830"/>
    <cellStyle name="Normal 2 4 22 4" xfId="1831"/>
    <cellStyle name="Normal 2 4 22 5" xfId="1832"/>
    <cellStyle name="Normal 2 4 23" xfId="1833"/>
    <cellStyle name="Normal 2 4 23 2" xfId="1834"/>
    <cellStyle name="Normal 2 4 23 3" xfId="1835"/>
    <cellStyle name="Normal 2 4 23 4" xfId="1836"/>
    <cellStyle name="Normal 2 4 23 5" xfId="1837"/>
    <cellStyle name="Normal 2 4 24" xfId="1838"/>
    <cellStyle name="Normal 2 4 24 2" xfId="1839"/>
    <cellStyle name="Normal 2 4 24 3" xfId="1840"/>
    <cellStyle name="Normal 2 4 24 4" xfId="1841"/>
    <cellStyle name="Normal 2 4 24 5" xfId="1842"/>
    <cellStyle name="Normal 2 4 25" xfId="1843"/>
    <cellStyle name="Normal 2 4 26" xfId="1844"/>
    <cellStyle name="Normal 2 4 27" xfId="1845"/>
    <cellStyle name="Normal 2 4 28" xfId="1846"/>
    <cellStyle name="Normal 2 4 29" xfId="1847"/>
    <cellStyle name="Normal 2 4 3" xfId="1848"/>
    <cellStyle name="Normal 2 4 3 10" xfId="1849"/>
    <cellStyle name="Normal 2 4 3 10 2" xfId="1850"/>
    <cellStyle name="Normal 2 4 3 10 2 2" xfId="1851"/>
    <cellStyle name="Normal 2 4 3 10 2 3" xfId="1852"/>
    <cellStyle name="Normal 2 4 3 10 2 4" xfId="1853"/>
    <cellStyle name="Normal 2 4 3 10 2 5" xfId="1854"/>
    <cellStyle name="Normal 2 4 3 10 3" xfId="1855"/>
    <cellStyle name="Normal 2 4 3 10 3 2" xfId="1856"/>
    <cellStyle name="Normal 2 4 3 10 3 3" xfId="1857"/>
    <cellStyle name="Normal 2 4 3 10 3 4" xfId="1858"/>
    <cellStyle name="Normal 2 4 3 10 3 5" xfId="1859"/>
    <cellStyle name="Normal 2 4 3 10 4" xfId="1860"/>
    <cellStyle name="Normal 2 4 3 10 4 2" xfId="1861"/>
    <cellStyle name="Normal 2 4 3 10 4 3" xfId="1862"/>
    <cellStyle name="Normal 2 4 3 10 4 4" xfId="1863"/>
    <cellStyle name="Normal 2 4 3 10 4 5" xfId="1864"/>
    <cellStyle name="Normal 2 4 3 10 5" xfId="1865"/>
    <cellStyle name="Normal 2 4 3 10 6" xfId="1866"/>
    <cellStyle name="Normal 2 4 3 10 7" xfId="1867"/>
    <cellStyle name="Normal 2 4 3 10 8" xfId="1868"/>
    <cellStyle name="Normal 2 4 3 11" xfId="1869"/>
    <cellStyle name="Normal 2 4 3 11 2" xfId="1870"/>
    <cellStyle name="Normal 2 4 3 11 2 2" xfId="1871"/>
    <cellStyle name="Normal 2 4 3 11 2 3" xfId="1872"/>
    <cellStyle name="Normal 2 4 3 11 2 4" xfId="1873"/>
    <cellStyle name="Normal 2 4 3 11 2 5" xfId="1874"/>
    <cellStyle name="Normal 2 4 3 11 3" xfId="1875"/>
    <cellStyle name="Normal 2 4 3 11 3 2" xfId="1876"/>
    <cellStyle name="Normal 2 4 3 11 3 3" xfId="1877"/>
    <cellStyle name="Normal 2 4 3 11 3 4" xfId="1878"/>
    <cellStyle name="Normal 2 4 3 11 3 5" xfId="1879"/>
    <cellStyle name="Normal 2 4 3 11 4" xfId="1880"/>
    <cellStyle name="Normal 2 4 3 11 4 2" xfId="1881"/>
    <cellStyle name="Normal 2 4 3 11 4 3" xfId="1882"/>
    <cellStyle name="Normal 2 4 3 11 4 4" xfId="1883"/>
    <cellStyle name="Normal 2 4 3 11 4 5" xfId="1884"/>
    <cellStyle name="Normal 2 4 3 11 5" xfId="1885"/>
    <cellStyle name="Normal 2 4 3 11 6" xfId="1886"/>
    <cellStyle name="Normal 2 4 3 11 7" xfId="1887"/>
    <cellStyle name="Normal 2 4 3 11 8" xfId="1888"/>
    <cellStyle name="Normal 2 4 3 12" xfId="1889"/>
    <cellStyle name="Normal 2 4 3 12 2" xfId="1890"/>
    <cellStyle name="Normal 2 4 3 12 3" xfId="1891"/>
    <cellStyle name="Normal 2 4 3 12 4" xfId="1892"/>
    <cellStyle name="Normal 2 4 3 12 5" xfId="1893"/>
    <cellStyle name="Normal 2 4 3 13" xfId="1894"/>
    <cellStyle name="Normal 2 4 3 13 2" xfId="1895"/>
    <cellStyle name="Normal 2 4 3 13 3" xfId="1896"/>
    <cellStyle name="Normal 2 4 3 13 4" xfId="1897"/>
    <cellStyle name="Normal 2 4 3 13 5" xfId="1898"/>
    <cellStyle name="Normal 2 4 3 14" xfId="1899"/>
    <cellStyle name="Normal 2 4 3 14 2" xfId="1900"/>
    <cellStyle name="Normal 2 4 3 14 3" xfId="1901"/>
    <cellStyle name="Normal 2 4 3 14 4" xfId="1902"/>
    <cellStyle name="Normal 2 4 3 14 5" xfId="1903"/>
    <cellStyle name="Normal 2 4 3 15" xfId="1904"/>
    <cellStyle name="Normal 2 4 3 16" xfId="1905"/>
    <cellStyle name="Normal 2 4 3 17" xfId="1906"/>
    <cellStyle name="Normal 2 4 3 18" xfId="1907"/>
    <cellStyle name="Normal 2 4 3 2" xfId="1908"/>
    <cellStyle name="Normal 2 4 3 2 2" xfId="1909"/>
    <cellStyle name="Normal 2 4 3 2 2 2" xfId="1910"/>
    <cellStyle name="Normal 2 4 3 2 2 3" xfId="1911"/>
    <cellStyle name="Normal 2 4 3 2 2 4" xfId="1912"/>
    <cellStyle name="Normal 2 4 3 2 2 5" xfId="1913"/>
    <cellStyle name="Normal 2 4 3 2 3" xfId="1914"/>
    <cellStyle name="Normal 2 4 3 2 3 2" xfId="1915"/>
    <cellStyle name="Normal 2 4 3 2 3 3" xfId="1916"/>
    <cellStyle name="Normal 2 4 3 2 3 4" xfId="1917"/>
    <cellStyle name="Normal 2 4 3 2 3 5" xfId="1918"/>
    <cellStyle name="Normal 2 4 3 2 4" xfId="1919"/>
    <cellStyle name="Normal 2 4 3 2 4 2" xfId="1920"/>
    <cellStyle name="Normal 2 4 3 2 4 3" xfId="1921"/>
    <cellStyle name="Normal 2 4 3 2 4 4" xfId="1922"/>
    <cellStyle name="Normal 2 4 3 2 4 5" xfId="1923"/>
    <cellStyle name="Normal 2 4 3 2 5" xfId="1924"/>
    <cellStyle name="Normal 2 4 3 2 6" xfId="1925"/>
    <cellStyle name="Normal 2 4 3 2 7" xfId="1926"/>
    <cellStyle name="Normal 2 4 3 2 8" xfId="1927"/>
    <cellStyle name="Normal 2 4 3 3" xfId="1928"/>
    <cellStyle name="Normal 2 4 3 3 2" xfId="1929"/>
    <cellStyle name="Normal 2 4 3 3 2 2" xfId="1930"/>
    <cellStyle name="Normal 2 4 3 3 2 3" xfId="1931"/>
    <cellStyle name="Normal 2 4 3 3 2 4" xfId="1932"/>
    <cellStyle name="Normal 2 4 3 3 2 5" xfId="1933"/>
    <cellStyle name="Normal 2 4 3 3 3" xfId="1934"/>
    <cellStyle name="Normal 2 4 3 3 3 2" xfId="1935"/>
    <cellStyle name="Normal 2 4 3 3 3 3" xfId="1936"/>
    <cellStyle name="Normal 2 4 3 3 3 4" xfId="1937"/>
    <cellStyle name="Normal 2 4 3 3 3 5" xfId="1938"/>
    <cellStyle name="Normal 2 4 3 3 4" xfId="1939"/>
    <cellStyle name="Normal 2 4 3 3 4 2" xfId="1940"/>
    <cellStyle name="Normal 2 4 3 3 4 3" xfId="1941"/>
    <cellStyle name="Normal 2 4 3 3 4 4" xfId="1942"/>
    <cellStyle name="Normal 2 4 3 3 4 5" xfId="1943"/>
    <cellStyle name="Normal 2 4 3 3 5" xfId="1944"/>
    <cellStyle name="Normal 2 4 3 3 6" xfId="1945"/>
    <cellStyle name="Normal 2 4 3 3 7" xfId="1946"/>
    <cellStyle name="Normal 2 4 3 3 8" xfId="1947"/>
    <cellStyle name="Normal 2 4 3 4" xfId="1948"/>
    <cellStyle name="Normal 2 4 3 4 2" xfId="1949"/>
    <cellStyle name="Normal 2 4 3 4 2 2" xfId="1950"/>
    <cellStyle name="Normal 2 4 3 4 2 3" xfId="1951"/>
    <cellStyle name="Normal 2 4 3 4 2 4" xfId="1952"/>
    <cellStyle name="Normal 2 4 3 4 2 5" xfId="1953"/>
    <cellStyle name="Normal 2 4 3 4 3" xfId="1954"/>
    <cellStyle name="Normal 2 4 3 4 3 2" xfId="1955"/>
    <cellStyle name="Normal 2 4 3 4 3 3" xfId="1956"/>
    <cellStyle name="Normal 2 4 3 4 3 4" xfId="1957"/>
    <cellStyle name="Normal 2 4 3 4 3 5" xfId="1958"/>
    <cellStyle name="Normal 2 4 3 4 4" xfId="1959"/>
    <cellStyle name="Normal 2 4 3 4 4 2" xfId="1960"/>
    <cellStyle name="Normal 2 4 3 4 4 3" xfId="1961"/>
    <cellStyle name="Normal 2 4 3 4 4 4" xfId="1962"/>
    <cellStyle name="Normal 2 4 3 4 4 5" xfId="1963"/>
    <cellStyle name="Normal 2 4 3 4 5" xfId="1964"/>
    <cellStyle name="Normal 2 4 3 4 6" xfId="1965"/>
    <cellStyle name="Normal 2 4 3 4 7" xfId="1966"/>
    <cellStyle name="Normal 2 4 3 4 8" xfId="1967"/>
    <cellStyle name="Normal 2 4 3 5" xfId="1968"/>
    <cellStyle name="Normal 2 4 3 5 2" xfId="1969"/>
    <cellStyle name="Normal 2 4 3 5 2 2" xfId="1970"/>
    <cellStyle name="Normal 2 4 3 5 2 3" xfId="1971"/>
    <cellStyle name="Normal 2 4 3 5 2 4" xfId="1972"/>
    <cellStyle name="Normal 2 4 3 5 2 5" xfId="1973"/>
    <cellStyle name="Normal 2 4 3 5 3" xfId="1974"/>
    <cellStyle name="Normal 2 4 3 5 3 2" xfId="1975"/>
    <cellStyle name="Normal 2 4 3 5 3 3" xfId="1976"/>
    <cellStyle name="Normal 2 4 3 5 3 4" xfId="1977"/>
    <cellStyle name="Normal 2 4 3 5 3 5" xfId="1978"/>
    <cellStyle name="Normal 2 4 3 5 4" xfId="1979"/>
    <cellStyle name="Normal 2 4 3 5 4 2" xfId="1980"/>
    <cellStyle name="Normal 2 4 3 5 4 3" xfId="1981"/>
    <cellStyle name="Normal 2 4 3 5 4 4" xfId="1982"/>
    <cellStyle name="Normal 2 4 3 5 4 5" xfId="1983"/>
    <cellStyle name="Normal 2 4 3 5 5" xfId="1984"/>
    <cellStyle name="Normal 2 4 3 5 6" xfId="1985"/>
    <cellStyle name="Normal 2 4 3 5 7" xfId="1986"/>
    <cellStyle name="Normal 2 4 3 5 8" xfId="1987"/>
    <cellStyle name="Normal 2 4 3 6" xfId="1988"/>
    <cellStyle name="Normal 2 4 3 6 2" xfId="1989"/>
    <cellStyle name="Normal 2 4 3 6 2 2" xfId="1990"/>
    <cellStyle name="Normal 2 4 3 6 2 3" xfId="1991"/>
    <cellStyle name="Normal 2 4 3 6 2 4" xfId="1992"/>
    <cellStyle name="Normal 2 4 3 6 2 5" xfId="1993"/>
    <cellStyle name="Normal 2 4 3 6 3" xfId="1994"/>
    <cellStyle name="Normal 2 4 3 6 3 2" xfId="1995"/>
    <cellStyle name="Normal 2 4 3 6 3 3" xfId="1996"/>
    <cellStyle name="Normal 2 4 3 6 3 4" xfId="1997"/>
    <cellStyle name="Normal 2 4 3 6 3 5" xfId="1998"/>
    <cellStyle name="Normal 2 4 3 6 4" xfId="1999"/>
    <cellStyle name="Normal 2 4 3 6 4 2" xfId="2000"/>
    <cellStyle name="Normal 2 4 3 6 4 3" xfId="2001"/>
    <cellStyle name="Normal 2 4 3 6 4 4" xfId="2002"/>
    <cellStyle name="Normal 2 4 3 6 4 5" xfId="2003"/>
    <cellStyle name="Normal 2 4 3 6 5" xfId="2004"/>
    <cellStyle name="Normal 2 4 3 6 6" xfId="2005"/>
    <cellStyle name="Normal 2 4 3 6 7" xfId="2006"/>
    <cellStyle name="Normal 2 4 3 6 8" xfId="2007"/>
    <cellStyle name="Normal 2 4 3 7" xfId="2008"/>
    <cellStyle name="Normal 2 4 3 7 2" xfId="2009"/>
    <cellStyle name="Normal 2 4 3 7 2 2" xfId="2010"/>
    <cellStyle name="Normal 2 4 3 7 2 3" xfId="2011"/>
    <cellStyle name="Normal 2 4 3 7 2 4" xfId="2012"/>
    <cellStyle name="Normal 2 4 3 7 2 5" xfId="2013"/>
    <cellStyle name="Normal 2 4 3 7 3" xfId="2014"/>
    <cellStyle name="Normal 2 4 3 7 3 2" xfId="2015"/>
    <cellStyle name="Normal 2 4 3 7 3 3" xfId="2016"/>
    <cellStyle name="Normal 2 4 3 7 3 4" xfId="2017"/>
    <cellStyle name="Normal 2 4 3 7 3 5" xfId="2018"/>
    <cellStyle name="Normal 2 4 3 7 4" xfId="2019"/>
    <cellStyle name="Normal 2 4 3 7 4 2" xfId="2020"/>
    <cellStyle name="Normal 2 4 3 7 4 3" xfId="2021"/>
    <cellStyle name="Normal 2 4 3 7 4 4" xfId="2022"/>
    <cellStyle name="Normal 2 4 3 7 4 5" xfId="2023"/>
    <cellStyle name="Normal 2 4 3 7 5" xfId="2024"/>
    <cellStyle name="Normal 2 4 3 7 6" xfId="2025"/>
    <cellStyle name="Normal 2 4 3 7 7" xfId="2026"/>
    <cellStyle name="Normal 2 4 3 7 8" xfId="2027"/>
    <cellStyle name="Normal 2 4 3 8" xfId="2028"/>
    <cellStyle name="Normal 2 4 3 8 2" xfId="2029"/>
    <cellStyle name="Normal 2 4 3 8 2 2" xfId="2030"/>
    <cellStyle name="Normal 2 4 3 8 2 3" xfId="2031"/>
    <cellStyle name="Normal 2 4 3 8 2 4" xfId="2032"/>
    <cellStyle name="Normal 2 4 3 8 2 5" xfId="2033"/>
    <cellStyle name="Normal 2 4 3 8 3" xfId="2034"/>
    <cellStyle name="Normal 2 4 3 8 3 2" xfId="2035"/>
    <cellStyle name="Normal 2 4 3 8 3 3" xfId="2036"/>
    <cellStyle name="Normal 2 4 3 8 3 4" xfId="2037"/>
    <cellStyle name="Normal 2 4 3 8 3 5" xfId="2038"/>
    <cellStyle name="Normal 2 4 3 8 4" xfId="2039"/>
    <cellStyle name="Normal 2 4 3 8 4 2" xfId="2040"/>
    <cellStyle name="Normal 2 4 3 8 4 3" xfId="2041"/>
    <cellStyle name="Normal 2 4 3 8 4 4" xfId="2042"/>
    <cellStyle name="Normal 2 4 3 8 4 5" xfId="2043"/>
    <cellStyle name="Normal 2 4 3 8 5" xfId="2044"/>
    <cellStyle name="Normal 2 4 3 8 6" xfId="2045"/>
    <cellStyle name="Normal 2 4 3 8 7" xfId="2046"/>
    <cellStyle name="Normal 2 4 3 8 8" xfId="2047"/>
    <cellStyle name="Normal 2 4 3 9" xfId="2048"/>
    <cellStyle name="Normal 2 4 3 9 2" xfId="2049"/>
    <cellStyle name="Normal 2 4 3 9 2 2" xfId="2050"/>
    <cellStyle name="Normal 2 4 3 9 2 3" xfId="2051"/>
    <cellStyle name="Normal 2 4 3 9 2 4" xfId="2052"/>
    <cellStyle name="Normal 2 4 3 9 2 5" xfId="2053"/>
    <cellStyle name="Normal 2 4 3 9 3" xfId="2054"/>
    <cellStyle name="Normal 2 4 3 9 3 2" xfId="2055"/>
    <cellStyle name="Normal 2 4 3 9 3 3" xfId="2056"/>
    <cellStyle name="Normal 2 4 3 9 3 4" xfId="2057"/>
    <cellStyle name="Normal 2 4 3 9 3 5" xfId="2058"/>
    <cellStyle name="Normal 2 4 3 9 4" xfId="2059"/>
    <cellStyle name="Normal 2 4 3 9 4 2" xfId="2060"/>
    <cellStyle name="Normal 2 4 3 9 4 3" xfId="2061"/>
    <cellStyle name="Normal 2 4 3 9 4 4" xfId="2062"/>
    <cellStyle name="Normal 2 4 3 9 4 5" xfId="2063"/>
    <cellStyle name="Normal 2 4 3 9 5" xfId="2064"/>
    <cellStyle name="Normal 2 4 3 9 6" xfId="2065"/>
    <cellStyle name="Normal 2 4 3 9 7" xfId="2066"/>
    <cellStyle name="Normal 2 4 3 9 8" xfId="2067"/>
    <cellStyle name="Normal 2 4 30" xfId="2068"/>
    <cellStyle name="Normal 2 4 31" xfId="2069"/>
    <cellStyle name="Normal 2 4 32" xfId="2070"/>
    <cellStyle name="Normal 2 4 33" xfId="2071"/>
    <cellStyle name="Normal 2 4 34" xfId="2072"/>
    <cellStyle name="Normal 2 4 35" xfId="2073"/>
    <cellStyle name="Normal 2 4 36" xfId="2074"/>
    <cellStyle name="Normal 2 4 4" xfId="2075"/>
    <cellStyle name="Normal 2 4 4 10" xfId="2076"/>
    <cellStyle name="Normal 2 4 4 10 2" xfId="2077"/>
    <cellStyle name="Normal 2 4 4 10 2 2" xfId="2078"/>
    <cellStyle name="Normal 2 4 4 10 2 3" xfId="2079"/>
    <cellStyle name="Normal 2 4 4 10 2 4" xfId="2080"/>
    <cellStyle name="Normal 2 4 4 10 2 5" xfId="2081"/>
    <cellStyle name="Normal 2 4 4 10 3" xfId="2082"/>
    <cellStyle name="Normal 2 4 4 10 3 2" xfId="2083"/>
    <cellStyle name="Normal 2 4 4 10 3 3" xfId="2084"/>
    <cellStyle name="Normal 2 4 4 10 3 4" xfId="2085"/>
    <cellStyle name="Normal 2 4 4 10 3 5" xfId="2086"/>
    <cellStyle name="Normal 2 4 4 10 4" xfId="2087"/>
    <cellStyle name="Normal 2 4 4 10 4 2" xfId="2088"/>
    <cellStyle name="Normal 2 4 4 10 4 3" xfId="2089"/>
    <cellStyle name="Normal 2 4 4 10 4 4" xfId="2090"/>
    <cellStyle name="Normal 2 4 4 10 4 5" xfId="2091"/>
    <cellStyle name="Normal 2 4 4 10 5" xfId="2092"/>
    <cellStyle name="Normal 2 4 4 10 6" xfId="2093"/>
    <cellStyle name="Normal 2 4 4 10 7" xfId="2094"/>
    <cellStyle name="Normal 2 4 4 10 8" xfId="2095"/>
    <cellStyle name="Normal 2 4 4 11" xfId="2096"/>
    <cellStyle name="Normal 2 4 4 11 2" xfId="2097"/>
    <cellStyle name="Normal 2 4 4 11 2 2" xfId="2098"/>
    <cellStyle name="Normal 2 4 4 11 2 3" xfId="2099"/>
    <cellStyle name="Normal 2 4 4 11 2 4" xfId="2100"/>
    <cellStyle name="Normal 2 4 4 11 2 5" xfId="2101"/>
    <cellStyle name="Normal 2 4 4 11 3" xfId="2102"/>
    <cellStyle name="Normal 2 4 4 11 3 2" xfId="2103"/>
    <cellStyle name="Normal 2 4 4 11 3 3" xfId="2104"/>
    <cellStyle name="Normal 2 4 4 11 3 4" xfId="2105"/>
    <cellStyle name="Normal 2 4 4 11 3 5" xfId="2106"/>
    <cellStyle name="Normal 2 4 4 11 4" xfId="2107"/>
    <cellStyle name="Normal 2 4 4 11 4 2" xfId="2108"/>
    <cellStyle name="Normal 2 4 4 11 4 3" xfId="2109"/>
    <cellStyle name="Normal 2 4 4 11 4 4" xfId="2110"/>
    <cellStyle name="Normal 2 4 4 11 4 5" xfId="2111"/>
    <cellStyle name="Normal 2 4 4 11 5" xfId="2112"/>
    <cellStyle name="Normal 2 4 4 11 6" xfId="2113"/>
    <cellStyle name="Normal 2 4 4 11 7" xfId="2114"/>
    <cellStyle name="Normal 2 4 4 11 8" xfId="2115"/>
    <cellStyle name="Normal 2 4 4 12" xfId="2116"/>
    <cellStyle name="Normal 2 4 4 12 2" xfId="2117"/>
    <cellStyle name="Normal 2 4 4 12 3" xfId="2118"/>
    <cellStyle name="Normal 2 4 4 12 4" xfId="2119"/>
    <cellStyle name="Normal 2 4 4 12 5" xfId="2120"/>
    <cellStyle name="Normal 2 4 4 13" xfId="2121"/>
    <cellStyle name="Normal 2 4 4 13 2" xfId="2122"/>
    <cellStyle name="Normal 2 4 4 13 3" xfId="2123"/>
    <cellStyle name="Normal 2 4 4 13 4" xfId="2124"/>
    <cellStyle name="Normal 2 4 4 13 5" xfId="2125"/>
    <cellStyle name="Normal 2 4 4 14" xfId="2126"/>
    <cellStyle name="Normal 2 4 4 14 2" xfId="2127"/>
    <cellStyle name="Normal 2 4 4 14 3" xfId="2128"/>
    <cellStyle name="Normal 2 4 4 14 4" xfId="2129"/>
    <cellStyle name="Normal 2 4 4 14 5" xfId="2130"/>
    <cellStyle name="Normal 2 4 4 15" xfId="2131"/>
    <cellStyle name="Normal 2 4 4 16" xfId="2132"/>
    <cellStyle name="Normal 2 4 4 17" xfId="2133"/>
    <cellStyle name="Normal 2 4 4 18" xfId="2134"/>
    <cellStyle name="Normal 2 4 4 2" xfId="2135"/>
    <cellStyle name="Normal 2 4 4 2 2" xfId="2136"/>
    <cellStyle name="Normal 2 4 4 2 2 2" xfId="2137"/>
    <cellStyle name="Normal 2 4 4 2 2 3" xfId="2138"/>
    <cellStyle name="Normal 2 4 4 2 2 4" xfId="2139"/>
    <cellStyle name="Normal 2 4 4 2 2 5" xfId="2140"/>
    <cellStyle name="Normal 2 4 4 2 3" xfId="2141"/>
    <cellStyle name="Normal 2 4 4 2 3 2" xfId="2142"/>
    <cellStyle name="Normal 2 4 4 2 3 3" xfId="2143"/>
    <cellStyle name="Normal 2 4 4 2 3 4" xfId="2144"/>
    <cellStyle name="Normal 2 4 4 2 3 5" xfId="2145"/>
    <cellStyle name="Normal 2 4 4 2 4" xfId="2146"/>
    <cellStyle name="Normal 2 4 4 2 4 2" xfId="2147"/>
    <cellStyle name="Normal 2 4 4 2 4 3" xfId="2148"/>
    <cellStyle name="Normal 2 4 4 2 4 4" xfId="2149"/>
    <cellStyle name="Normal 2 4 4 2 4 5" xfId="2150"/>
    <cellStyle name="Normal 2 4 4 2 5" xfId="2151"/>
    <cellStyle name="Normal 2 4 4 2 6" xfId="2152"/>
    <cellStyle name="Normal 2 4 4 2 7" xfId="2153"/>
    <cellStyle name="Normal 2 4 4 2 8" xfId="2154"/>
    <cellStyle name="Normal 2 4 4 3" xfId="2155"/>
    <cellStyle name="Normal 2 4 4 3 2" xfId="2156"/>
    <cellStyle name="Normal 2 4 4 3 2 2" xfId="2157"/>
    <cellStyle name="Normal 2 4 4 3 2 3" xfId="2158"/>
    <cellStyle name="Normal 2 4 4 3 2 4" xfId="2159"/>
    <cellStyle name="Normal 2 4 4 3 2 5" xfId="2160"/>
    <cellStyle name="Normal 2 4 4 3 3" xfId="2161"/>
    <cellStyle name="Normal 2 4 4 3 3 2" xfId="2162"/>
    <cellStyle name="Normal 2 4 4 3 3 3" xfId="2163"/>
    <cellStyle name="Normal 2 4 4 3 3 4" xfId="2164"/>
    <cellStyle name="Normal 2 4 4 3 3 5" xfId="2165"/>
    <cellStyle name="Normal 2 4 4 3 4" xfId="2166"/>
    <cellStyle name="Normal 2 4 4 3 4 2" xfId="2167"/>
    <cellStyle name="Normal 2 4 4 3 4 3" xfId="2168"/>
    <cellStyle name="Normal 2 4 4 3 4 4" xfId="2169"/>
    <cellStyle name="Normal 2 4 4 3 4 5" xfId="2170"/>
    <cellStyle name="Normal 2 4 4 3 5" xfId="2171"/>
    <cellStyle name="Normal 2 4 4 3 6" xfId="2172"/>
    <cellStyle name="Normal 2 4 4 3 7" xfId="2173"/>
    <cellStyle name="Normal 2 4 4 3 8" xfId="2174"/>
    <cellStyle name="Normal 2 4 4 4" xfId="2175"/>
    <cellStyle name="Normal 2 4 4 4 2" xfId="2176"/>
    <cellStyle name="Normal 2 4 4 4 2 2" xfId="2177"/>
    <cellStyle name="Normal 2 4 4 4 2 3" xfId="2178"/>
    <cellStyle name="Normal 2 4 4 4 2 4" xfId="2179"/>
    <cellStyle name="Normal 2 4 4 4 2 5" xfId="2180"/>
    <cellStyle name="Normal 2 4 4 4 3" xfId="2181"/>
    <cellStyle name="Normal 2 4 4 4 3 2" xfId="2182"/>
    <cellStyle name="Normal 2 4 4 4 3 3" xfId="2183"/>
    <cellStyle name="Normal 2 4 4 4 3 4" xfId="2184"/>
    <cellStyle name="Normal 2 4 4 4 3 5" xfId="2185"/>
    <cellStyle name="Normal 2 4 4 4 4" xfId="2186"/>
    <cellStyle name="Normal 2 4 4 4 4 2" xfId="2187"/>
    <cellStyle name="Normal 2 4 4 4 4 3" xfId="2188"/>
    <cellStyle name="Normal 2 4 4 4 4 4" xfId="2189"/>
    <cellStyle name="Normal 2 4 4 4 4 5" xfId="2190"/>
    <cellStyle name="Normal 2 4 4 4 5" xfId="2191"/>
    <cellStyle name="Normal 2 4 4 4 6" xfId="2192"/>
    <cellStyle name="Normal 2 4 4 4 7" xfId="2193"/>
    <cellStyle name="Normal 2 4 4 4 8" xfId="2194"/>
    <cellStyle name="Normal 2 4 4 5" xfId="2195"/>
    <cellStyle name="Normal 2 4 4 5 2" xfId="2196"/>
    <cellStyle name="Normal 2 4 4 5 2 2" xfId="2197"/>
    <cellStyle name="Normal 2 4 4 5 2 3" xfId="2198"/>
    <cellStyle name="Normal 2 4 4 5 2 4" xfId="2199"/>
    <cellStyle name="Normal 2 4 4 5 2 5" xfId="2200"/>
    <cellStyle name="Normal 2 4 4 5 3" xfId="2201"/>
    <cellStyle name="Normal 2 4 4 5 3 2" xfId="2202"/>
    <cellStyle name="Normal 2 4 4 5 3 3" xfId="2203"/>
    <cellStyle name="Normal 2 4 4 5 3 4" xfId="2204"/>
    <cellStyle name="Normal 2 4 4 5 3 5" xfId="2205"/>
    <cellStyle name="Normal 2 4 4 5 4" xfId="2206"/>
    <cellStyle name="Normal 2 4 4 5 4 2" xfId="2207"/>
    <cellStyle name="Normal 2 4 4 5 4 3" xfId="2208"/>
    <cellStyle name="Normal 2 4 4 5 4 4" xfId="2209"/>
    <cellStyle name="Normal 2 4 4 5 4 5" xfId="2210"/>
    <cellStyle name="Normal 2 4 4 5 5" xfId="2211"/>
    <cellStyle name="Normal 2 4 4 5 6" xfId="2212"/>
    <cellStyle name="Normal 2 4 4 5 7" xfId="2213"/>
    <cellStyle name="Normal 2 4 4 5 8" xfId="2214"/>
    <cellStyle name="Normal 2 4 4 6" xfId="2215"/>
    <cellStyle name="Normal 2 4 4 6 2" xfId="2216"/>
    <cellStyle name="Normal 2 4 4 6 2 2" xfId="2217"/>
    <cellStyle name="Normal 2 4 4 6 2 3" xfId="2218"/>
    <cellStyle name="Normal 2 4 4 6 2 4" xfId="2219"/>
    <cellStyle name="Normal 2 4 4 6 2 5" xfId="2220"/>
    <cellStyle name="Normal 2 4 4 6 3" xfId="2221"/>
    <cellStyle name="Normal 2 4 4 6 3 2" xfId="2222"/>
    <cellStyle name="Normal 2 4 4 6 3 3" xfId="2223"/>
    <cellStyle name="Normal 2 4 4 6 3 4" xfId="2224"/>
    <cellStyle name="Normal 2 4 4 6 3 5" xfId="2225"/>
    <cellStyle name="Normal 2 4 4 6 4" xfId="2226"/>
    <cellStyle name="Normal 2 4 4 6 4 2" xfId="2227"/>
    <cellStyle name="Normal 2 4 4 6 4 3" xfId="2228"/>
    <cellStyle name="Normal 2 4 4 6 4 4" xfId="2229"/>
    <cellStyle name="Normal 2 4 4 6 4 5" xfId="2230"/>
    <cellStyle name="Normal 2 4 4 6 5" xfId="2231"/>
    <cellStyle name="Normal 2 4 4 6 6" xfId="2232"/>
    <cellStyle name="Normal 2 4 4 6 7" xfId="2233"/>
    <cellStyle name="Normal 2 4 4 6 8" xfId="2234"/>
    <cellStyle name="Normal 2 4 4 7" xfId="2235"/>
    <cellStyle name="Normal 2 4 4 7 2" xfId="2236"/>
    <cellStyle name="Normal 2 4 4 7 2 2" xfId="2237"/>
    <cellStyle name="Normal 2 4 4 7 2 3" xfId="2238"/>
    <cellStyle name="Normal 2 4 4 7 2 4" xfId="2239"/>
    <cellStyle name="Normal 2 4 4 7 2 5" xfId="2240"/>
    <cellStyle name="Normal 2 4 4 7 3" xfId="2241"/>
    <cellStyle name="Normal 2 4 4 7 3 2" xfId="2242"/>
    <cellStyle name="Normal 2 4 4 7 3 3" xfId="2243"/>
    <cellStyle name="Normal 2 4 4 7 3 4" xfId="2244"/>
    <cellStyle name="Normal 2 4 4 7 3 5" xfId="2245"/>
    <cellStyle name="Normal 2 4 4 7 4" xfId="2246"/>
    <cellStyle name="Normal 2 4 4 7 4 2" xfId="2247"/>
    <cellStyle name="Normal 2 4 4 7 4 3" xfId="2248"/>
    <cellStyle name="Normal 2 4 4 7 4 4" xfId="2249"/>
    <cellStyle name="Normal 2 4 4 7 4 5" xfId="2250"/>
    <cellStyle name="Normal 2 4 4 7 5" xfId="2251"/>
    <cellStyle name="Normal 2 4 4 7 6" xfId="2252"/>
    <cellStyle name="Normal 2 4 4 7 7" xfId="2253"/>
    <cellStyle name="Normal 2 4 4 7 8" xfId="2254"/>
    <cellStyle name="Normal 2 4 4 8" xfId="2255"/>
    <cellStyle name="Normal 2 4 4 8 2" xfId="2256"/>
    <cellStyle name="Normal 2 4 4 8 2 2" xfId="2257"/>
    <cellStyle name="Normal 2 4 4 8 2 3" xfId="2258"/>
    <cellStyle name="Normal 2 4 4 8 2 4" xfId="2259"/>
    <cellStyle name="Normal 2 4 4 8 2 5" xfId="2260"/>
    <cellStyle name="Normal 2 4 4 8 3" xfId="2261"/>
    <cellStyle name="Normal 2 4 4 8 3 2" xfId="2262"/>
    <cellStyle name="Normal 2 4 4 8 3 3" xfId="2263"/>
    <cellStyle name="Normal 2 4 4 8 3 4" xfId="2264"/>
    <cellStyle name="Normal 2 4 4 8 3 5" xfId="2265"/>
    <cellStyle name="Normal 2 4 4 8 4" xfId="2266"/>
    <cellStyle name="Normal 2 4 4 8 4 2" xfId="2267"/>
    <cellStyle name="Normal 2 4 4 8 4 3" xfId="2268"/>
    <cellStyle name="Normal 2 4 4 8 4 4" xfId="2269"/>
    <cellStyle name="Normal 2 4 4 8 4 5" xfId="2270"/>
    <cellStyle name="Normal 2 4 4 8 5" xfId="2271"/>
    <cellStyle name="Normal 2 4 4 8 6" xfId="2272"/>
    <cellStyle name="Normal 2 4 4 8 7" xfId="2273"/>
    <cellStyle name="Normal 2 4 4 8 8" xfId="2274"/>
    <cellStyle name="Normal 2 4 4 9" xfId="2275"/>
    <cellStyle name="Normal 2 4 4 9 2" xfId="2276"/>
    <cellStyle name="Normal 2 4 4 9 2 2" xfId="2277"/>
    <cellStyle name="Normal 2 4 4 9 2 3" xfId="2278"/>
    <cellStyle name="Normal 2 4 4 9 2 4" xfId="2279"/>
    <cellStyle name="Normal 2 4 4 9 2 5" xfId="2280"/>
    <cellStyle name="Normal 2 4 4 9 3" xfId="2281"/>
    <cellStyle name="Normal 2 4 4 9 3 2" xfId="2282"/>
    <cellStyle name="Normal 2 4 4 9 3 3" xfId="2283"/>
    <cellStyle name="Normal 2 4 4 9 3 4" xfId="2284"/>
    <cellStyle name="Normal 2 4 4 9 3 5" xfId="2285"/>
    <cellStyle name="Normal 2 4 4 9 4" xfId="2286"/>
    <cellStyle name="Normal 2 4 4 9 4 2" xfId="2287"/>
    <cellStyle name="Normal 2 4 4 9 4 3" xfId="2288"/>
    <cellStyle name="Normal 2 4 4 9 4 4" xfId="2289"/>
    <cellStyle name="Normal 2 4 4 9 4 5" xfId="2290"/>
    <cellStyle name="Normal 2 4 4 9 5" xfId="2291"/>
    <cellStyle name="Normal 2 4 4 9 6" xfId="2292"/>
    <cellStyle name="Normal 2 4 4 9 7" xfId="2293"/>
    <cellStyle name="Normal 2 4 4 9 8" xfId="2294"/>
    <cellStyle name="Normal 2 4 5" xfId="2295"/>
    <cellStyle name="Normal 2 4 5 10" xfId="2296"/>
    <cellStyle name="Normal 2 4 5 10 2" xfId="2297"/>
    <cellStyle name="Normal 2 4 5 10 2 2" xfId="2298"/>
    <cellStyle name="Normal 2 4 5 10 2 3" xfId="2299"/>
    <cellStyle name="Normal 2 4 5 10 2 4" xfId="2300"/>
    <cellStyle name="Normal 2 4 5 10 2 5" xfId="2301"/>
    <cellStyle name="Normal 2 4 5 10 3" xfId="2302"/>
    <cellStyle name="Normal 2 4 5 10 3 2" xfId="2303"/>
    <cellStyle name="Normal 2 4 5 10 3 3" xfId="2304"/>
    <cellStyle name="Normal 2 4 5 10 3 4" xfId="2305"/>
    <cellStyle name="Normal 2 4 5 10 3 5" xfId="2306"/>
    <cellStyle name="Normal 2 4 5 10 4" xfId="2307"/>
    <cellStyle name="Normal 2 4 5 10 4 2" xfId="2308"/>
    <cellStyle name="Normal 2 4 5 10 4 3" xfId="2309"/>
    <cellStyle name="Normal 2 4 5 10 4 4" xfId="2310"/>
    <cellStyle name="Normal 2 4 5 10 4 5" xfId="2311"/>
    <cellStyle name="Normal 2 4 5 10 5" xfId="2312"/>
    <cellStyle name="Normal 2 4 5 10 6" xfId="2313"/>
    <cellStyle name="Normal 2 4 5 10 7" xfId="2314"/>
    <cellStyle name="Normal 2 4 5 10 8" xfId="2315"/>
    <cellStyle name="Normal 2 4 5 11" xfId="2316"/>
    <cellStyle name="Normal 2 4 5 11 2" xfId="2317"/>
    <cellStyle name="Normal 2 4 5 11 2 2" xfId="2318"/>
    <cellStyle name="Normal 2 4 5 11 2 3" xfId="2319"/>
    <cellStyle name="Normal 2 4 5 11 2 4" xfId="2320"/>
    <cellStyle name="Normal 2 4 5 11 2 5" xfId="2321"/>
    <cellStyle name="Normal 2 4 5 11 3" xfId="2322"/>
    <cellStyle name="Normal 2 4 5 11 3 2" xfId="2323"/>
    <cellStyle name="Normal 2 4 5 11 3 3" xfId="2324"/>
    <cellStyle name="Normal 2 4 5 11 3 4" xfId="2325"/>
    <cellStyle name="Normal 2 4 5 11 3 5" xfId="2326"/>
    <cellStyle name="Normal 2 4 5 11 4" xfId="2327"/>
    <cellStyle name="Normal 2 4 5 11 4 2" xfId="2328"/>
    <cellStyle name="Normal 2 4 5 11 4 3" xfId="2329"/>
    <cellStyle name="Normal 2 4 5 11 4 4" xfId="2330"/>
    <cellStyle name="Normal 2 4 5 11 4 5" xfId="2331"/>
    <cellStyle name="Normal 2 4 5 11 5" xfId="2332"/>
    <cellStyle name="Normal 2 4 5 11 6" xfId="2333"/>
    <cellStyle name="Normal 2 4 5 11 7" xfId="2334"/>
    <cellStyle name="Normal 2 4 5 11 8" xfId="2335"/>
    <cellStyle name="Normal 2 4 5 12" xfId="2336"/>
    <cellStyle name="Normal 2 4 5 12 2" xfId="2337"/>
    <cellStyle name="Normal 2 4 5 12 3" xfId="2338"/>
    <cellStyle name="Normal 2 4 5 12 4" xfId="2339"/>
    <cellStyle name="Normal 2 4 5 12 5" xfId="2340"/>
    <cellStyle name="Normal 2 4 5 13" xfId="2341"/>
    <cellStyle name="Normal 2 4 5 13 2" xfId="2342"/>
    <cellStyle name="Normal 2 4 5 13 3" xfId="2343"/>
    <cellStyle name="Normal 2 4 5 13 4" xfId="2344"/>
    <cellStyle name="Normal 2 4 5 13 5" xfId="2345"/>
    <cellStyle name="Normal 2 4 5 14" xfId="2346"/>
    <cellStyle name="Normal 2 4 5 14 2" xfId="2347"/>
    <cellStyle name="Normal 2 4 5 14 3" xfId="2348"/>
    <cellStyle name="Normal 2 4 5 14 4" xfId="2349"/>
    <cellStyle name="Normal 2 4 5 14 5" xfId="2350"/>
    <cellStyle name="Normal 2 4 5 15" xfId="2351"/>
    <cellStyle name="Normal 2 4 5 16" xfId="2352"/>
    <cellStyle name="Normal 2 4 5 17" xfId="2353"/>
    <cellStyle name="Normal 2 4 5 18" xfId="2354"/>
    <cellStyle name="Normal 2 4 5 2" xfId="2355"/>
    <cellStyle name="Normal 2 4 5 2 2" xfId="2356"/>
    <cellStyle name="Normal 2 4 5 2 2 2" xfId="2357"/>
    <cellStyle name="Normal 2 4 5 2 2 3" xfId="2358"/>
    <cellStyle name="Normal 2 4 5 2 2 4" xfId="2359"/>
    <cellStyle name="Normal 2 4 5 2 2 5" xfId="2360"/>
    <cellStyle name="Normal 2 4 5 2 3" xfId="2361"/>
    <cellStyle name="Normal 2 4 5 2 3 2" xfId="2362"/>
    <cellStyle name="Normal 2 4 5 2 3 3" xfId="2363"/>
    <cellStyle name="Normal 2 4 5 2 3 4" xfId="2364"/>
    <cellStyle name="Normal 2 4 5 2 3 5" xfId="2365"/>
    <cellStyle name="Normal 2 4 5 2 4" xfId="2366"/>
    <cellStyle name="Normal 2 4 5 2 4 2" xfId="2367"/>
    <cellStyle name="Normal 2 4 5 2 4 3" xfId="2368"/>
    <cellStyle name="Normal 2 4 5 2 4 4" xfId="2369"/>
    <cellStyle name="Normal 2 4 5 2 4 5" xfId="2370"/>
    <cellStyle name="Normal 2 4 5 2 5" xfId="2371"/>
    <cellStyle name="Normal 2 4 5 2 6" xfId="2372"/>
    <cellStyle name="Normal 2 4 5 2 7" xfId="2373"/>
    <cellStyle name="Normal 2 4 5 2 8" xfId="2374"/>
    <cellStyle name="Normal 2 4 5 3" xfId="2375"/>
    <cellStyle name="Normal 2 4 5 3 2" xfId="2376"/>
    <cellStyle name="Normal 2 4 5 3 2 2" xfId="2377"/>
    <cellStyle name="Normal 2 4 5 3 2 3" xfId="2378"/>
    <cellStyle name="Normal 2 4 5 3 2 4" xfId="2379"/>
    <cellStyle name="Normal 2 4 5 3 2 5" xfId="2380"/>
    <cellStyle name="Normal 2 4 5 3 3" xfId="2381"/>
    <cellStyle name="Normal 2 4 5 3 3 2" xfId="2382"/>
    <cellStyle name="Normal 2 4 5 3 3 3" xfId="2383"/>
    <cellStyle name="Normal 2 4 5 3 3 4" xfId="2384"/>
    <cellStyle name="Normal 2 4 5 3 3 5" xfId="2385"/>
    <cellStyle name="Normal 2 4 5 3 4" xfId="2386"/>
    <cellStyle name="Normal 2 4 5 3 4 2" xfId="2387"/>
    <cellStyle name="Normal 2 4 5 3 4 3" xfId="2388"/>
    <cellStyle name="Normal 2 4 5 3 4 4" xfId="2389"/>
    <cellStyle name="Normal 2 4 5 3 4 5" xfId="2390"/>
    <cellStyle name="Normal 2 4 5 3 5" xfId="2391"/>
    <cellStyle name="Normal 2 4 5 3 6" xfId="2392"/>
    <cellStyle name="Normal 2 4 5 3 7" xfId="2393"/>
    <cellStyle name="Normal 2 4 5 3 8" xfId="2394"/>
    <cellStyle name="Normal 2 4 5 4" xfId="2395"/>
    <cellStyle name="Normal 2 4 5 4 2" xfId="2396"/>
    <cellStyle name="Normal 2 4 5 4 2 2" xfId="2397"/>
    <cellStyle name="Normal 2 4 5 4 2 3" xfId="2398"/>
    <cellStyle name="Normal 2 4 5 4 2 4" xfId="2399"/>
    <cellStyle name="Normal 2 4 5 4 2 5" xfId="2400"/>
    <cellStyle name="Normal 2 4 5 4 3" xfId="2401"/>
    <cellStyle name="Normal 2 4 5 4 3 2" xfId="2402"/>
    <cellStyle name="Normal 2 4 5 4 3 3" xfId="2403"/>
    <cellStyle name="Normal 2 4 5 4 3 4" xfId="2404"/>
    <cellStyle name="Normal 2 4 5 4 3 5" xfId="2405"/>
    <cellStyle name="Normal 2 4 5 4 4" xfId="2406"/>
    <cellStyle name="Normal 2 4 5 4 4 2" xfId="2407"/>
    <cellStyle name="Normal 2 4 5 4 4 3" xfId="2408"/>
    <cellStyle name="Normal 2 4 5 4 4 4" xfId="2409"/>
    <cellStyle name="Normal 2 4 5 4 4 5" xfId="2410"/>
    <cellStyle name="Normal 2 4 5 4 5" xfId="2411"/>
    <cellStyle name="Normal 2 4 5 4 6" xfId="2412"/>
    <cellStyle name="Normal 2 4 5 4 7" xfId="2413"/>
    <cellStyle name="Normal 2 4 5 4 8" xfId="2414"/>
    <cellStyle name="Normal 2 4 5 5" xfId="2415"/>
    <cellStyle name="Normal 2 4 5 5 2" xfId="2416"/>
    <cellStyle name="Normal 2 4 5 5 2 2" xfId="2417"/>
    <cellStyle name="Normal 2 4 5 5 2 3" xfId="2418"/>
    <cellStyle name="Normal 2 4 5 5 2 4" xfId="2419"/>
    <cellStyle name="Normal 2 4 5 5 2 5" xfId="2420"/>
    <cellStyle name="Normal 2 4 5 5 3" xfId="2421"/>
    <cellStyle name="Normal 2 4 5 5 3 2" xfId="2422"/>
    <cellStyle name="Normal 2 4 5 5 3 3" xfId="2423"/>
    <cellStyle name="Normal 2 4 5 5 3 4" xfId="2424"/>
    <cellStyle name="Normal 2 4 5 5 3 5" xfId="2425"/>
    <cellStyle name="Normal 2 4 5 5 4" xfId="2426"/>
    <cellStyle name="Normal 2 4 5 5 4 2" xfId="2427"/>
    <cellStyle name="Normal 2 4 5 5 4 3" xfId="2428"/>
    <cellStyle name="Normal 2 4 5 5 4 4" xfId="2429"/>
    <cellStyle name="Normal 2 4 5 5 4 5" xfId="2430"/>
    <cellStyle name="Normal 2 4 5 5 5" xfId="2431"/>
    <cellStyle name="Normal 2 4 5 5 6" xfId="2432"/>
    <cellStyle name="Normal 2 4 5 5 7" xfId="2433"/>
    <cellStyle name="Normal 2 4 5 5 8" xfId="2434"/>
    <cellStyle name="Normal 2 4 5 6" xfId="2435"/>
    <cellStyle name="Normal 2 4 5 6 2" xfId="2436"/>
    <cellStyle name="Normal 2 4 5 6 2 2" xfId="2437"/>
    <cellStyle name="Normal 2 4 5 6 2 3" xfId="2438"/>
    <cellStyle name="Normal 2 4 5 6 2 4" xfId="2439"/>
    <cellStyle name="Normal 2 4 5 6 2 5" xfId="2440"/>
    <cellStyle name="Normal 2 4 5 6 3" xfId="2441"/>
    <cellStyle name="Normal 2 4 5 6 3 2" xfId="2442"/>
    <cellStyle name="Normal 2 4 5 6 3 3" xfId="2443"/>
    <cellStyle name="Normal 2 4 5 6 3 4" xfId="2444"/>
    <cellStyle name="Normal 2 4 5 6 3 5" xfId="2445"/>
    <cellStyle name="Normal 2 4 5 6 4" xfId="2446"/>
    <cellStyle name="Normal 2 4 5 6 4 2" xfId="2447"/>
    <cellStyle name="Normal 2 4 5 6 4 3" xfId="2448"/>
    <cellStyle name="Normal 2 4 5 6 4 4" xfId="2449"/>
    <cellStyle name="Normal 2 4 5 6 4 5" xfId="2450"/>
    <cellStyle name="Normal 2 4 5 6 5" xfId="2451"/>
    <cellStyle name="Normal 2 4 5 6 6" xfId="2452"/>
    <cellStyle name="Normal 2 4 5 6 7" xfId="2453"/>
    <cellStyle name="Normal 2 4 5 6 8" xfId="2454"/>
    <cellStyle name="Normal 2 4 5 7" xfId="2455"/>
    <cellStyle name="Normal 2 4 5 7 2" xfId="2456"/>
    <cellStyle name="Normal 2 4 5 7 2 2" xfId="2457"/>
    <cellStyle name="Normal 2 4 5 7 2 3" xfId="2458"/>
    <cellStyle name="Normal 2 4 5 7 2 4" xfId="2459"/>
    <cellStyle name="Normal 2 4 5 7 2 5" xfId="2460"/>
    <cellStyle name="Normal 2 4 5 7 3" xfId="2461"/>
    <cellStyle name="Normal 2 4 5 7 3 2" xfId="2462"/>
    <cellStyle name="Normal 2 4 5 7 3 3" xfId="2463"/>
    <cellStyle name="Normal 2 4 5 7 3 4" xfId="2464"/>
    <cellStyle name="Normal 2 4 5 7 3 5" xfId="2465"/>
    <cellStyle name="Normal 2 4 5 7 4" xfId="2466"/>
    <cellStyle name="Normal 2 4 5 7 4 2" xfId="2467"/>
    <cellStyle name="Normal 2 4 5 7 4 3" xfId="2468"/>
    <cellStyle name="Normal 2 4 5 7 4 4" xfId="2469"/>
    <cellStyle name="Normal 2 4 5 7 4 5" xfId="2470"/>
    <cellStyle name="Normal 2 4 5 7 5" xfId="2471"/>
    <cellStyle name="Normal 2 4 5 7 6" xfId="2472"/>
    <cellStyle name="Normal 2 4 5 7 7" xfId="2473"/>
    <cellStyle name="Normal 2 4 5 7 8" xfId="2474"/>
    <cellStyle name="Normal 2 4 5 8" xfId="2475"/>
    <cellStyle name="Normal 2 4 5 8 2" xfId="2476"/>
    <cellStyle name="Normal 2 4 5 8 2 2" xfId="2477"/>
    <cellStyle name="Normal 2 4 5 8 2 3" xfId="2478"/>
    <cellStyle name="Normal 2 4 5 8 2 4" xfId="2479"/>
    <cellStyle name="Normal 2 4 5 8 2 5" xfId="2480"/>
    <cellStyle name="Normal 2 4 5 8 3" xfId="2481"/>
    <cellStyle name="Normal 2 4 5 8 3 2" xfId="2482"/>
    <cellStyle name="Normal 2 4 5 8 3 3" xfId="2483"/>
    <cellStyle name="Normal 2 4 5 8 3 4" xfId="2484"/>
    <cellStyle name="Normal 2 4 5 8 3 5" xfId="2485"/>
    <cellStyle name="Normal 2 4 5 8 4" xfId="2486"/>
    <cellStyle name="Normal 2 4 5 8 4 2" xfId="2487"/>
    <cellStyle name="Normal 2 4 5 8 4 3" xfId="2488"/>
    <cellStyle name="Normal 2 4 5 8 4 4" xfId="2489"/>
    <cellStyle name="Normal 2 4 5 8 4 5" xfId="2490"/>
    <cellStyle name="Normal 2 4 5 8 5" xfId="2491"/>
    <cellStyle name="Normal 2 4 5 8 6" xfId="2492"/>
    <cellStyle name="Normal 2 4 5 8 7" xfId="2493"/>
    <cellStyle name="Normal 2 4 5 8 8" xfId="2494"/>
    <cellStyle name="Normal 2 4 5 9" xfId="2495"/>
    <cellStyle name="Normal 2 4 5 9 2" xfId="2496"/>
    <cellStyle name="Normal 2 4 5 9 2 2" xfId="2497"/>
    <cellStyle name="Normal 2 4 5 9 2 3" xfId="2498"/>
    <cellStyle name="Normal 2 4 5 9 2 4" xfId="2499"/>
    <cellStyle name="Normal 2 4 5 9 2 5" xfId="2500"/>
    <cellStyle name="Normal 2 4 5 9 3" xfId="2501"/>
    <cellStyle name="Normal 2 4 5 9 3 2" xfId="2502"/>
    <cellStyle name="Normal 2 4 5 9 3 3" xfId="2503"/>
    <cellStyle name="Normal 2 4 5 9 3 4" xfId="2504"/>
    <cellStyle name="Normal 2 4 5 9 3 5" xfId="2505"/>
    <cellStyle name="Normal 2 4 5 9 4" xfId="2506"/>
    <cellStyle name="Normal 2 4 5 9 4 2" xfId="2507"/>
    <cellStyle name="Normal 2 4 5 9 4 3" xfId="2508"/>
    <cellStyle name="Normal 2 4 5 9 4 4" xfId="2509"/>
    <cellStyle name="Normal 2 4 5 9 4 5" xfId="2510"/>
    <cellStyle name="Normal 2 4 5 9 5" xfId="2511"/>
    <cellStyle name="Normal 2 4 5 9 6" xfId="2512"/>
    <cellStyle name="Normal 2 4 5 9 7" xfId="2513"/>
    <cellStyle name="Normal 2 4 5 9 8" xfId="2514"/>
    <cellStyle name="Normal 2 4 6" xfId="2515"/>
    <cellStyle name="Normal 2 4 7" xfId="2516"/>
    <cellStyle name="Normal 2 4 8" xfId="2517"/>
    <cellStyle name="Normal 2 4 9" xfId="2518"/>
    <cellStyle name="Normal 2 4_Sheet10" xfId="2519"/>
    <cellStyle name="Normal 2 40" xfId="2520"/>
    <cellStyle name="Normal 2 5" xfId="2521"/>
    <cellStyle name="Normal 2 5 2" xfId="2522"/>
    <cellStyle name="Normal 2 5 3" xfId="2523"/>
    <cellStyle name="Normal 2 6" xfId="2524"/>
    <cellStyle name="Normal 2 6 2" xfId="2525"/>
    <cellStyle name="Normal 2 6 3" xfId="2526"/>
    <cellStyle name="Normal 2 7" xfId="2527"/>
    <cellStyle name="Normal 2 7 2" xfId="2528"/>
    <cellStyle name="Normal 2 7 3" xfId="2529"/>
    <cellStyle name="Normal 2 8" xfId="2530"/>
    <cellStyle name="Normal 2 8 2" xfId="2531"/>
    <cellStyle name="Normal 2 8 3" xfId="2532"/>
    <cellStyle name="Normal 2 9" xfId="2533"/>
    <cellStyle name="Normal 2 9 2" xfId="2534"/>
    <cellStyle name="Normal 2 9 3" xfId="2535"/>
    <cellStyle name="Normal 20" xfId="2536"/>
    <cellStyle name="Normal 20 10" xfId="2537"/>
    <cellStyle name="Normal 20 11" xfId="2538"/>
    <cellStyle name="Normal 20 12" xfId="2539"/>
    <cellStyle name="Normal 20 13" xfId="2540"/>
    <cellStyle name="Normal 20 14" xfId="2541"/>
    <cellStyle name="Normal 20 15" xfId="2542"/>
    <cellStyle name="Normal 20 16" xfId="2543"/>
    <cellStyle name="Normal 20 17" xfId="2544"/>
    <cellStyle name="Normal 20 18" xfId="2545"/>
    <cellStyle name="Normal 20 19" xfId="2546"/>
    <cellStyle name="Normal 20 2" xfId="2547"/>
    <cellStyle name="Normal 20 20" xfId="2548"/>
    <cellStyle name="Normal 20 3" xfId="2549"/>
    <cellStyle name="Normal 20 4" xfId="2550"/>
    <cellStyle name="Normal 20 5" xfId="2551"/>
    <cellStyle name="Normal 20 6" xfId="2552"/>
    <cellStyle name="Normal 20 7" xfId="2553"/>
    <cellStyle name="Normal 20 8" xfId="2554"/>
    <cellStyle name="Normal 20 9" xfId="2555"/>
    <cellStyle name="Normal 200" xfId="2556"/>
    <cellStyle name="Normal 201" xfId="2557"/>
    <cellStyle name="Normal 202" xfId="2558"/>
    <cellStyle name="Normal 203" xfId="2559"/>
    <cellStyle name="Normal 204" xfId="2560"/>
    <cellStyle name="Normal 205" xfId="14"/>
    <cellStyle name="Normal 206" xfId="2561"/>
    <cellStyle name="Normal 207" xfId="2562"/>
    <cellStyle name="Normal 208" xfId="2563"/>
    <cellStyle name="Normal 209" xfId="2564"/>
    <cellStyle name="Normal 21" xfId="2565"/>
    <cellStyle name="Normal 21 10" xfId="2566"/>
    <cellStyle name="Normal 21 11" xfId="2567"/>
    <cellStyle name="Normal 21 12" xfId="2568"/>
    <cellStyle name="Normal 21 13" xfId="2569"/>
    <cellStyle name="Normal 21 14" xfId="2570"/>
    <cellStyle name="Normal 21 15" xfId="2571"/>
    <cellStyle name="Normal 21 16" xfId="2572"/>
    <cellStyle name="Normal 21 17" xfId="2573"/>
    <cellStyle name="Normal 21 18" xfId="2574"/>
    <cellStyle name="Normal 21 19" xfId="2575"/>
    <cellStyle name="Normal 21 2" xfId="2576"/>
    <cellStyle name="Normal 21 20" xfId="2577"/>
    <cellStyle name="Normal 21 3" xfId="2578"/>
    <cellStyle name="Normal 21 4" xfId="2579"/>
    <cellStyle name="Normal 21 5" xfId="2580"/>
    <cellStyle name="Normal 21 6" xfId="2581"/>
    <cellStyle name="Normal 21 7" xfId="2582"/>
    <cellStyle name="Normal 21 8" xfId="2583"/>
    <cellStyle name="Normal 21 9" xfId="2584"/>
    <cellStyle name="Normal 210" xfId="2585"/>
    <cellStyle name="Normal 211" xfId="2586"/>
    <cellStyle name="Normal 212" xfId="2587"/>
    <cellStyle name="Normal 213" xfId="2588"/>
    <cellStyle name="Normal 214" xfId="2589"/>
    <cellStyle name="Normal 215" xfId="2590"/>
    <cellStyle name="Normal 216" xfId="2591"/>
    <cellStyle name="Normal 217" xfId="2592"/>
    <cellStyle name="Normal 218" xfId="2593"/>
    <cellStyle name="Normal 219" xfId="2594"/>
    <cellStyle name="Normal 22" xfId="2595"/>
    <cellStyle name="Normal 22 10" xfId="2596"/>
    <cellStyle name="Normal 22 11" xfId="2597"/>
    <cellStyle name="Normal 22 12" xfId="2598"/>
    <cellStyle name="Normal 22 13" xfId="2599"/>
    <cellStyle name="Normal 22 14" xfId="2600"/>
    <cellStyle name="Normal 22 15" xfId="2601"/>
    <cellStyle name="Normal 22 16" xfId="2602"/>
    <cellStyle name="Normal 22 17" xfId="2603"/>
    <cellStyle name="Normal 22 18" xfId="2604"/>
    <cellStyle name="Normal 22 19" xfId="2605"/>
    <cellStyle name="Normal 22 2" xfId="2606"/>
    <cellStyle name="Normal 22 20" xfId="2607"/>
    <cellStyle name="Normal 22 3" xfId="2608"/>
    <cellStyle name="Normal 22 4" xfId="2609"/>
    <cellStyle name="Normal 22 5" xfId="2610"/>
    <cellStyle name="Normal 22 6" xfId="2611"/>
    <cellStyle name="Normal 22 7" xfId="2612"/>
    <cellStyle name="Normal 22 8" xfId="2613"/>
    <cellStyle name="Normal 22 9" xfId="2614"/>
    <cellStyle name="Normal 220" xfId="2615"/>
    <cellStyle name="Normal 221" xfId="2616"/>
    <cellStyle name="Normal 222" xfId="15"/>
    <cellStyle name="Normal 223" xfId="16"/>
    <cellStyle name="Normal 224" xfId="17"/>
    <cellStyle name="Normal 225" xfId="2617"/>
    <cellStyle name="Normal 226" xfId="2618"/>
    <cellStyle name="Normal 227" xfId="18"/>
    <cellStyle name="Normal 228" xfId="2619"/>
    <cellStyle name="Normal 229" xfId="2620"/>
    <cellStyle name="Normal 23" xfId="2621"/>
    <cellStyle name="Normal 23 10" xfId="2622"/>
    <cellStyle name="Normal 23 11" xfId="2623"/>
    <cellStyle name="Normal 23 12" xfId="2624"/>
    <cellStyle name="Normal 23 13" xfId="2625"/>
    <cellStyle name="Normal 23 14" xfId="2626"/>
    <cellStyle name="Normal 23 15" xfId="2627"/>
    <cellStyle name="Normal 23 16" xfId="2628"/>
    <cellStyle name="Normal 23 17" xfId="2629"/>
    <cellStyle name="Normal 23 18" xfId="2630"/>
    <cellStyle name="Normal 23 19" xfId="2631"/>
    <cellStyle name="Normal 23 2" xfId="2632"/>
    <cellStyle name="Normal 23 20" xfId="2633"/>
    <cellStyle name="Normal 23 3" xfId="2634"/>
    <cellStyle name="Normal 23 4" xfId="2635"/>
    <cellStyle name="Normal 23 5" xfId="2636"/>
    <cellStyle name="Normal 23 6" xfId="2637"/>
    <cellStyle name="Normal 23 7" xfId="2638"/>
    <cellStyle name="Normal 23 8" xfId="2639"/>
    <cellStyle name="Normal 23 9" xfId="2640"/>
    <cellStyle name="Normal 230" xfId="20"/>
    <cellStyle name="Normal 231" xfId="2641"/>
    <cellStyle name="Normal 232" xfId="2642"/>
    <cellStyle name="Normal 233" xfId="2643"/>
    <cellStyle name="Normal 234" xfId="19"/>
    <cellStyle name="Normal 235" xfId="2644"/>
    <cellStyle name="Normal 236" xfId="21"/>
    <cellStyle name="Normal 237" xfId="2645"/>
    <cellStyle name="Normal 238" xfId="2646"/>
    <cellStyle name="Normal 239" xfId="2647"/>
    <cellStyle name="Normal 24" xfId="2648"/>
    <cellStyle name="Normal 24 10" xfId="2649"/>
    <cellStyle name="Normal 24 11" xfId="2650"/>
    <cellStyle name="Normal 24 12" xfId="2651"/>
    <cellStyle name="Normal 24 13" xfId="2652"/>
    <cellStyle name="Normal 24 14" xfId="2653"/>
    <cellStyle name="Normal 24 15" xfId="2654"/>
    <cellStyle name="Normal 24 16" xfId="2655"/>
    <cellStyle name="Normal 24 17" xfId="2656"/>
    <cellStyle name="Normal 24 18" xfId="2657"/>
    <cellStyle name="Normal 24 19" xfId="2658"/>
    <cellStyle name="Normal 24 2" xfId="2659"/>
    <cellStyle name="Normal 24 20" xfId="2660"/>
    <cellStyle name="Normal 24 3" xfId="2661"/>
    <cellStyle name="Normal 24 4" xfId="2662"/>
    <cellStyle name="Normal 24 5" xfId="2663"/>
    <cellStyle name="Normal 24 6" xfId="2664"/>
    <cellStyle name="Normal 24 7" xfId="2665"/>
    <cellStyle name="Normal 24 8" xfId="2666"/>
    <cellStyle name="Normal 24 9" xfId="2667"/>
    <cellStyle name="Normal 240" xfId="2668"/>
    <cellStyle name="Normal 241" xfId="22"/>
    <cellStyle name="Normal 242" xfId="2669"/>
    <cellStyle name="Normal 243" xfId="23"/>
    <cellStyle name="Normal 244" xfId="2670"/>
    <cellStyle name="Normal 245" xfId="25"/>
    <cellStyle name="Normal 246" xfId="24"/>
    <cellStyle name="Normal 247" xfId="26"/>
    <cellStyle name="Normal 248" xfId="27"/>
    <cellStyle name="Normal 249" xfId="28"/>
    <cellStyle name="Normal 25" xfId="2671"/>
    <cellStyle name="Normal 25 10" xfId="2672"/>
    <cellStyle name="Normal 25 11" xfId="2673"/>
    <cellStyle name="Normal 25 12" xfId="2674"/>
    <cellStyle name="Normal 25 13" xfId="2675"/>
    <cellStyle name="Normal 25 14" xfId="2676"/>
    <cellStyle name="Normal 25 15" xfId="2677"/>
    <cellStyle name="Normal 25 16" xfId="2678"/>
    <cellStyle name="Normal 25 17" xfId="2679"/>
    <cellStyle name="Normal 25 18" xfId="2680"/>
    <cellStyle name="Normal 25 19" xfId="2681"/>
    <cellStyle name="Normal 25 2" xfId="2682"/>
    <cellStyle name="Normal 25 20" xfId="2683"/>
    <cellStyle name="Normal 25 3" xfId="2684"/>
    <cellStyle name="Normal 25 4" xfId="2685"/>
    <cellStyle name="Normal 25 5" xfId="2686"/>
    <cellStyle name="Normal 25 6" xfId="2687"/>
    <cellStyle name="Normal 25 7" xfId="2688"/>
    <cellStyle name="Normal 25 8" xfId="2689"/>
    <cellStyle name="Normal 25 9" xfId="2690"/>
    <cellStyle name="Normal 250" xfId="8637"/>
    <cellStyle name="Normal 251" xfId="8642"/>
    <cellStyle name="Normal 252" xfId="2691"/>
    <cellStyle name="Normal 253" xfId="2692"/>
    <cellStyle name="Normal 254" xfId="2693"/>
    <cellStyle name="Normal 255" xfId="8643"/>
    <cellStyle name="Normal 26" xfId="2694"/>
    <cellStyle name="Normal 26 10" xfId="2695"/>
    <cellStyle name="Normal 26 11" xfId="2696"/>
    <cellStyle name="Normal 26 12" xfId="2697"/>
    <cellStyle name="Normal 26 13" xfId="2698"/>
    <cellStyle name="Normal 26 14" xfId="2699"/>
    <cellStyle name="Normal 26 15" xfId="2700"/>
    <cellStyle name="Normal 26 16" xfId="2701"/>
    <cellStyle name="Normal 26 17" xfId="2702"/>
    <cellStyle name="Normal 26 18" xfId="2703"/>
    <cellStyle name="Normal 26 19" xfId="2704"/>
    <cellStyle name="Normal 26 2" xfId="2705"/>
    <cellStyle name="Normal 26 20" xfId="2706"/>
    <cellStyle name="Normal 26 3" xfId="2707"/>
    <cellStyle name="Normal 26 4" xfId="2708"/>
    <cellStyle name="Normal 26 5" xfId="2709"/>
    <cellStyle name="Normal 26 6" xfId="2710"/>
    <cellStyle name="Normal 26 7" xfId="2711"/>
    <cellStyle name="Normal 26 8" xfId="2712"/>
    <cellStyle name="Normal 26 9" xfId="2713"/>
    <cellStyle name="Normal 27" xfId="2714"/>
    <cellStyle name="Normal 27 10" xfId="2715"/>
    <cellStyle name="Normal 27 11" xfId="2716"/>
    <cellStyle name="Normal 27 12" xfId="2717"/>
    <cellStyle name="Normal 27 13" xfId="2718"/>
    <cellStyle name="Normal 27 14" xfId="2719"/>
    <cellStyle name="Normal 27 15" xfId="2720"/>
    <cellStyle name="Normal 27 16" xfId="2721"/>
    <cellStyle name="Normal 27 17" xfId="2722"/>
    <cellStyle name="Normal 27 18" xfId="2723"/>
    <cellStyle name="Normal 27 19" xfId="2724"/>
    <cellStyle name="Normal 27 2" xfId="2725"/>
    <cellStyle name="Normal 27 20" xfId="2726"/>
    <cellStyle name="Normal 27 3" xfId="2727"/>
    <cellStyle name="Normal 27 4" xfId="2728"/>
    <cellStyle name="Normal 27 5" xfId="2729"/>
    <cellStyle name="Normal 27 6" xfId="2730"/>
    <cellStyle name="Normal 27 7" xfId="2731"/>
    <cellStyle name="Normal 27 8" xfId="2732"/>
    <cellStyle name="Normal 27 9" xfId="2733"/>
    <cellStyle name="Normal 28" xfId="2734"/>
    <cellStyle name="Normal 28 10" xfId="2735"/>
    <cellStyle name="Normal 28 11" xfId="2736"/>
    <cellStyle name="Normal 28 12" xfId="2737"/>
    <cellStyle name="Normal 28 13" xfId="2738"/>
    <cellStyle name="Normal 28 14" xfId="2739"/>
    <cellStyle name="Normal 28 15" xfId="2740"/>
    <cellStyle name="Normal 28 16" xfId="2741"/>
    <cellStyle name="Normal 28 17" xfId="2742"/>
    <cellStyle name="Normal 28 18" xfId="2743"/>
    <cellStyle name="Normal 28 19" xfId="2744"/>
    <cellStyle name="Normal 28 2" xfId="2745"/>
    <cellStyle name="Normal 28 20" xfId="2746"/>
    <cellStyle name="Normal 28 21" xfId="2747"/>
    <cellStyle name="Normal 28 22" xfId="2748"/>
    <cellStyle name="Normal 28 3" xfId="2749"/>
    <cellStyle name="Normal 28 4" xfId="2750"/>
    <cellStyle name="Normal 28 5" xfId="2751"/>
    <cellStyle name="Normal 28 6" xfId="2752"/>
    <cellStyle name="Normal 28 7" xfId="2753"/>
    <cellStyle name="Normal 28 8" xfId="2754"/>
    <cellStyle name="Normal 28 9" xfId="2755"/>
    <cellStyle name="Normal 29" xfId="2756"/>
    <cellStyle name="Normal 29 10" xfId="2757"/>
    <cellStyle name="Normal 29 11" xfId="2758"/>
    <cellStyle name="Normal 29 12" xfId="2759"/>
    <cellStyle name="Normal 29 13" xfId="2760"/>
    <cellStyle name="Normal 29 14" xfId="2761"/>
    <cellStyle name="Normal 29 15" xfId="2762"/>
    <cellStyle name="Normal 29 16" xfId="2763"/>
    <cellStyle name="Normal 29 17" xfId="2764"/>
    <cellStyle name="Normal 29 18" xfId="2765"/>
    <cellStyle name="Normal 29 19" xfId="2766"/>
    <cellStyle name="Normal 29 2" xfId="2767"/>
    <cellStyle name="Normal 29 20" xfId="2768"/>
    <cellStyle name="Normal 29 3" xfId="2769"/>
    <cellStyle name="Normal 29 4" xfId="2770"/>
    <cellStyle name="Normal 29 5" xfId="2771"/>
    <cellStyle name="Normal 29 6" xfId="2772"/>
    <cellStyle name="Normal 29 7" xfId="2773"/>
    <cellStyle name="Normal 29 8" xfId="2774"/>
    <cellStyle name="Normal 29 9" xfId="2775"/>
    <cellStyle name="Normal 3" xfId="6"/>
    <cellStyle name="Normal 3 10" xfId="2776"/>
    <cellStyle name="Normal 3 11" xfId="2777"/>
    <cellStyle name="Normal 3 12" xfId="2778"/>
    <cellStyle name="Normal 3 13" xfId="2779"/>
    <cellStyle name="Normal 3 14" xfId="2780"/>
    <cellStyle name="Normal 3 15" xfId="2781"/>
    <cellStyle name="Normal 3 16" xfId="2782"/>
    <cellStyle name="Normal 3 17" xfId="2783"/>
    <cellStyle name="Normal 3 18" xfId="2784"/>
    <cellStyle name="Normal 3 19" xfId="2785"/>
    <cellStyle name="Normal 3 2" xfId="7"/>
    <cellStyle name="Normal 3 2 2" xfId="2786"/>
    <cellStyle name="Normal 3 2 2 2" xfId="2787"/>
    <cellStyle name="Normal 3 2 2 3" xfId="2788"/>
    <cellStyle name="Normal 3 2 3" xfId="2789"/>
    <cellStyle name="Normal 3 2 4" xfId="2790"/>
    <cellStyle name="Normal 3 2 5" xfId="2791"/>
    <cellStyle name="Normal 3 2 6" xfId="2792"/>
    <cellStyle name="Normal 3 20" xfId="2793"/>
    <cellStyle name="Normal 3 21" xfId="2794"/>
    <cellStyle name="Normal 3 22" xfId="2795"/>
    <cellStyle name="Normal 3 23" xfId="2796"/>
    <cellStyle name="Normal 3 24" xfId="2797"/>
    <cellStyle name="Normal 3 25" xfId="2798"/>
    <cellStyle name="Normal 3 26" xfId="2799"/>
    <cellStyle name="Normal 3 27" xfId="2800"/>
    <cellStyle name="Normal 3 28" xfId="8641"/>
    <cellStyle name="Normal 3 3" xfId="2801"/>
    <cellStyle name="Normal 3 3 2" xfId="2802"/>
    <cellStyle name="Normal 3 3 2 2" xfId="2803"/>
    <cellStyle name="Normal 3 3 2 3" xfId="2804"/>
    <cellStyle name="Normal 3 3 3" xfId="2805"/>
    <cellStyle name="Normal 3 3 4" xfId="2806"/>
    <cellStyle name="Normal 3 3 5" xfId="2807"/>
    <cellStyle name="Normal 3 3 6" xfId="2808"/>
    <cellStyle name="Normal 3 4" xfId="2809"/>
    <cellStyle name="Normal 3 4 2" xfId="2810"/>
    <cellStyle name="Normal 3 4 2 2" xfId="2811"/>
    <cellStyle name="Normal 3 4 2 3" xfId="2812"/>
    <cellStyle name="Normal 3 4 3" xfId="2813"/>
    <cellStyle name="Normal 3 4 4" xfId="2814"/>
    <cellStyle name="Normal 3 4 5" xfId="2815"/>
    <cellStyle name="Normal 3 4 6" xfId="2816"/>
    <cellStyle name="Normal 3 5" xfId="2817"/>
    <cellStyle name="Normal 3 6" xfId="2818"/>
    <cellStyle name="Normal 3 7" xfId="2819"/>
    <cellStyle name="Normal 3 8" xfId="2820"/>
    <cellStyle name="Normal 3 9" xfId="2821"/>
    <cellStyle name="Normal 30" xfId="2822"/>
    <cellStyle name="Normal 30 10" xfId="2823"/>
    <cellStyle name="Normal 30 11" xfId="2824"/>
    <cellStyle name="Normal 30 12" xfId="2825"/>
    <cellStyle name="Normal 30 13" xfId="2826"/>
    <cellStyle name="Normal 30 14" xfId="2827"/>
    <cellStyle name="Normal 30 15" xfId="2828"/>
    <cellStyle name="Normal 30 16" xfId="2829"/>
    <cellStyle name="Normal 30 17" xfId="2830"/>
    <cellStyle name="Normal 30 18" xfId="2831"/>
    <cellStyle name="Normal 30 19" xfId="2832"/>
    <cellStyle name="Normal 30 2" xfId="2833"/>
    <cellStyle name="Normal 30 20" xfId="2834"/>
    <cellStyle name="Normal 30 3" xfId="2835"/>
    <cellStyle name="Normal 30 4" xfId="2836"/>
    <cellStyle name="Normal 30 5" xfId="2837"/>
    <cellStyle name="Normal 30 6" xfId="2838"/>
    <cellStyle name="Normal 30 7" xfId="2839"/>
    <cellStyle name="Normal 30 8" xfId="2840"/>
    <cellStyle name="Normal 30 9" xfId="2841"/>
    <cellStyle name="Normal 31" xfId="2842"/>
    <cellStyle name="Normal 31 10" xfId="2843"/>
    <cellStyle name="Normal 31 11" xfId="2844"/>
    <cellStyle name="Normal 31 12" xfId="2845"/>
    <cellStyle name="Normal 31 13" xfId="2846"/>
    <cellStyle name="Normal 31 14" xfId="2847"/>
    <cellStyle name="Normal 31 15" xfId="2848"/>
    <cellStyle name="Normal 31 16" xfId="2849"/>
    <cellStyle name="Normal 31 17" xfId="2850"/>
    <cellStyle name="Normal 31 18" xfId="2851"/>
    <cellStyle name="Normal 31 19" xfId="2852"/>
    <cellStyle name="Normal 31 2" xfId="2853"/>
    <cellStyle name="Normal 31 20" xfId="2854"/>
    <cellStyle name="Normal 31 3" xfId="2855"/>
    <cellStyle name="Normal 31 4" xfId="2856"/>
    <cellStyle name="Normal 31 5" xfId="2857"/>
    <cellStyle name="Normal 31 6" xfId="2858"/>
    <cellStyle name="Normal 31 7" xfId="2859"/>
    <cellStyle name="Normal 31 8" xfId="2860"/>
    <cellStyle name="Normal 31 9" xfId="2861"/>
    <cellStyle name="Normal 32" xfId="2862"/>
    <cellStyle name="Normal 32 10" xfId="2863"/>
    <cellStyle name="Normal 32 11" xfId="2864"/>
    <cellStyle name="Normal 32 12" xfId="2865"/>
    <cellStyle name="Normal 32 13" xfId="2866"/>
    <cellStyle name="Normal 32 14" xfId="2867"/>
    <cellStyle name="Normal 32 15" xfId="2868"/>
    <cellStyle name="Normal 32 16" xfId="2869"/>
    <cellStyle name="Normal 32 17" xfId="2870"/>
    <cellStyle name="Normal 32 18" xfId="2871"/>
    <cellStyle name="Normal 32 19" xfId="2872"/>
    <cellStyle name="Normal 32 2" xfId="2873"/>
    <cellStyle name="Normal 32 20" xfId="2874"/>
    <cellStyle name="Normal 32 3" xfId="2875"/>
    <cellStyle name="Normal 32 4" xfId="2876"/>
    <cellStyle name="Normal 32 5" xfId="2877"/>
    <cellStyle name="Normal 32 6" xfId="2878"/>
    <cellStyle name="Normal 32 7" xfId="2879"/>
    <cellStyle name="Normal 32 8" xfId="2880"/>
    <cellStyle name="Normal 32 9" xfId="2881"/>
    <cellStyle name="Normal 33" xfId="2882"/>
    <cellStyle name="Normal 33 10" xfId="2883"/>
    <cellStyle name="Normal 33 11" xfId="2884"/>
    <cellStyle name="Normal 33 12" xfId="2885"/>
    <cellStyle name="Normal 33 13" xfId="2886"/>
    <cellStyle name="Normal 33 14" xfId="2887"/>
    <cellStyle name="Normal 33 15" xfId="2888"/>
    <cellStyle name="Normal 33 16" xfId="2889"/>
    <cellStyle name="Normal 33 17" xfId="2890"/>
    <cellStyle name="Normal 33 18" xfId="2891"/>
    <cellStyle name="Normal 33 19" xfId="2892"/>
    <cellStyle name="Normal 33 2" xfId="2893"/>
    <cellStyle name="Normal 33 20" xfId="2894"/>
    <cellStyle name="Normal 33 3" xfId="2895"/>
    <cellStyle name="Normal 33 4" xfId="2896"/>
    <cellStyle name="Normal 33 5" xfId="2897"/>
    <cellStyle name="Normal 33 6" xfId="2898"/>
    <cellStyle name="Normal 33 7" xfId="2899"/>
    <cellStyle name="Normal 33 8" xfId="2900"/>
    <cellStyle name="Normal 33 9" xfId="2901"/>
    <cellStyle name="Normal 34" xfId="2902"/>
    <cellStyle name="Normal 34 10" xfId="2903"/>
    <cellStyle name="Normal 34 11" xfId="2904"/>
    <cellStyle name="Normal 34 12" xfId="2905"/>
    <cellStyle name="Normal 34 13" xfId="2906"/>
    <cellStyle name="Normal 34 14" xfId="2907"/>
    <cellStyle name="Normal 34 15" xfId="2908"/>
    <cellStyle name="Normal 34 16" xfId="2909"/>
    <cellStyle name="Normal 34 17" xfId="2910"/>
    <cellStyle name="Normal 34 18" xfId="2911"/>
    <cellStyle name="Normal 34 19" xfId="2912"/>
    <cellStyle name="Normal 34 2" xfId="2913"/>
    <cellStyle name="Normal 34 20" xfId="2914"/>
    <cellStyle name="Normal 34 3" xfId="2915"/>
    <cellStyle name="Normal 34 4" xfId="2916"/>
    <cellStyle name="Normal 34 5" xfId="2917"/>
    <cellStyle name="Normal 34 6" xfId="2918"/>
    <cellStyle name="Normal 34 7" xfId="2919"/>
    <cellStyle name="Normal 34 8" xfId="2920"/>
    <cellStyle name="Normal 34 9" xfId="2921"/>
    <cellStyle name="Normal 35" xfId="2922"/>
    <cellStyle name="Normal 35 10" xfId="2923"/>
    <cellStyle name="Normal 35 11" xfId="2924"/>
    <cellStyle name="Normal 35 12" xfId="2925"/>
    <cellStyle name="Normal 35 13" xfId="2926"/>
    <cellStyle name="Normal 35 14" xfId="2927"/>
    <cellStyle name="Normal 35 15" xfId="2928"/>
    <cellStyle name="Normal 35 16" xfId="2929"/>
    <cellStyle name="Normal 35 17" xfId="2930"/>
    <cellStyle name="Normal 35 18" xfId="2931"/>
    <cellStyle name="Normal 35 19" xfId="2932"/>
    <cellStyle name="Normal 35 2" xfId="2933"/>
    <cellStyle name="Normal 35 20" xfId="2934"/>
    <cellStyle name="Normal 35 3" xfId="2935"/>
    <cellStyle name="Normal 35 4" xfId="2936"/>
    <cellStyle name="Normal 35 5" xfId="2937"/>
    <cellStyle name="Normal 35 6" xfId="2938"/>
    <cellStyle name="Normal 35 7" xfId="2939"/>
    <cellStyle name="Normal 35 8" xfId="2940"/>
    <cellStyle name="Normal 35 9" xfId="2941"/>
    <cellStyle name="Normal 36" xfId="2942"/>
    <cellStyle name="Normal 36 10" xfId="2943"/>
    <cellStyle name="Normal 36 11" xfId="2944"/>
    <cellStyle name="Normal 36 12" xfId="2945"/>
    <cellStyle name="Normal 36 13" xfId="2946"/>
    <cellStyle name="Normal 36 14" xfId="2947"/>
    <cellStyle name="Normal 36 15" xfId="2948"/>
    <cellStyle name="Normal 36 16" xfId="2949"/>
    <cellStyle name="Normal 36 17" xfId="2950"/>
    <cellStyle name="Normal 36 18" xfId="2951"/>
    <cellStyle name="Normal 36 19" xfId="2952"/>
    <cellStyle name="Normal 36 2" xfId="2953"/>
    <cellStyle name="Normal 36 20" xfId="2954"/>
    <cellStyle name="Normal 36 3" xfId="2955"/>
    <cellStyle name="Normal 36 4" xfId="2956"/>
    <cellStyle name="Normal 36 5" xfId="2957"/>
    <cellStyle name="Normal 36 6" xfId="2958"/>
    <cellStyle name="Normal 36 7" xfId="2959"/>
    <cellStyle name="Normal 36 8" xfId="2960"/>
    <cellStyle name="Normal 36 9" xfId="2961"/>
    <cellStyle name="Normal 37" xfId="2962"/>
    <cellStyle name="Normal 37 10" xfId="2963"/>
    <cellStyle name="Normal 37 11" xfId="2964"/>
    <cellStyle name="Normal 37 12" xfId="2965"/>
    <cellStyle name="Normal 37 13" xfId="2966"/>
    <cellStyle name="Normal 37 14" xfId="2967"/>
    <cellStyle name="Normal 37 15" xfId="2968"/>
    <cellStyle name="Normal 37 16" xfId="2969"/>
    <cellStyle name="Normal 37 17" xfId="2970"/>
    <cellStyle name="Normal 37 18" xfId="2971"/>
    <cellStyle name="Normal 37 19" xfId="2972"/>
    <cellStyle name="Normal 37 2" xfId="2973"/>
    <cellStyle name="Normal 37 20" xfId="2974"/>
    <cellStyle name="Normal 37 3" xfId="2975"/>
    <cellStyle name="Normal 37 4" xfId="2976"/>
    <cellStyle name="Normal 37 5" xfId="2977"/>
    <cellStyle name="Normal 37 6" xfId="2978"/>
    <cellStyle name="Normal 37 7" xfId="2979"/>
    <cellStyle name="Normal 37 8" xfId="2980"/>
    <cellStyle name="Normal 37 9" xfId="2981"/>
    <cellStyle name="Normal 38" xfId="2982"/>
    <cellStyle name="Normal 38 10" xfId="2983"/>
    <cellStyle name="Normal 38 11" xfId="2984"/>
    <cellStyle name="Normal 38 12" xfId="2985"/>
    <cellStyle name="Normal 38 13" xfId="2986"/>
    <cellStyle name="Normal 38 14" xfId="2987"/>
    <cellStyle name="Normal 38 15" xfId="2988"/>
    <cellStyle name="Normal 38 16" xfId="2989"/>
    <cellStyle name="Normal 38 17" xfId="2990"/>
    <cellStyle name="Normal 38 18" xfId="2991"/>
    <cellStyle name="Normal 38 19" xfId="2992"/>
    <cellStyle name="Normal 38 2" xfId="2993"/>
    <cellStyle name="Normal 38 20" xfId="2994"/>
    <cellStyle name="Normal 38 3" xfId="2995"/>
    <cellStyle name="Normal 38 4" xfId="2996"/>
    <cellStyle name="Normal 38 5" xfId="2997"/>
    <cellStyle name="Normal 38 6" xfId="2998"/>
    <cellStyle name="Normal 38 7" xfId="2999"/>
    <cellStyle name="Normal 38 8" xfId="3000"/>
    <cellStyle name="Normal 38 9" xfId="3001"/>
    <cellStyle name="Normal 39" xfId="3002"/>
    <cellStyle name="Normal 39 10" xfId="3003"/>
    <cellStyle name="Normal 39 11" xfId="3004"/>
    <cellStyle name="Normal 39 12" xfId="3005"/>
    <cellStyle name="Normal 39 13" xfId="3006"/>
    <cellStyle name="Normal 39 14" xfId="3007"/>
    <cellStyle name="Normal 39 15" xfId="3008"/>
    <cellStyle name="Normal 39 16" xfId="3009"/>
    <cellStyle name="Normal 39 17" xfId="3010"/>
    <cellStyle name="Normal 39 18" xfId="3011"/>
    <cellStyle name="Normal 39 19" xfId="3012"/>
    <cellStyle name="Normal 39 2" xfId="3013"/>
    <cellStyle name="Normal 39 20" xfId="3014"/>
    <cellStyle name="Normal 39 3" xfId="3015"/>
    <cellStyle name="Normal 39 4" xfId="3016"/>
    <cellStyle name="Normal 39 5" xfId="3017"/>
    <cellStyle name="Normal 39 6" xfId="3018"/>
    <cellStyle name="Normal 39 7" xfId="3019"/>
    <cellStyle name="Normal 39 8" xfId="3020"/>
    <cellStyle name="Normal 39 9" xfId="3021"/>
    <cellStyle name="Normal 4" xfId="8"/>
    <cellStyle name="Normal 4 10" xfId="3022"/>
    <cellStyle name="Normal 4 11" xfId="3023"/>
    <cellStyle name="Normal 4 12" xfId="3024"/>
    <cellStyle name="Normal 4 13" xfId="3025"/>
    <cellStyle name="Normal 4 14" xfId="3026"/>
    <cellStyle name="Normal 4 15" xfId="3027"/>
    <cellStyle name="Normal 4 16" xfId="3028"/>
    <cellStyle name="Normal 4 17" xfId="3029"/>
    <cellStyle name="Normal 4 18" xfId="3030"/>
    <cellStyle name="Normal 4 19" xfId="3031"/>
    <cellStyle name="Normal 4 2" xfId="3032"/>
    <cellStyle name="Normal 4 2 2" xfId="3033"/>
    <cellStyle name="Normal 4 2 2 2" xfId="3034"/>
    <cellStyle name="Normal 4 2 2 3" xfId="3035"/>
    <cellStyle name="Normal 4 2 3" xfId="3036"/>
    <cellStyle name="Normal 4 2 4" xfId="3037"/>
    <cellStyle name="Normal 4 2 5" xfId="3038"/>
    <cellStyle name="Normal 4 2 6" xfId="3039"/>
    <cellStyle name="Normal 4 20" xfId="3040"/>
    <cellStyle name="Normal 4 21" xfId="3041"/>
    <cellStyle name="Normal 4 22" xfId="3042"/>
    <cellStyle name="Normal 4 23" xfId="3043"/>
    <cellStyle name="Normal 4 24" xfId="3044"/>
    <cellStyle name="Normal 4 25" xfId="3045"/>
    <cellStyle name="Normal 4 26" xfId="3046"/>
    <cellStyle name="Normal 4 27" xfId="3047"/>
    <cellStyle name="Normal 4 28" xfId="3048"/>
    <cellStyle name="Normal 4 29" xfId="3049"/>
    <cellStyle name="Normal 4 3" xfId="3050"/>
    <cellStyle name="Normal 4 30" xfId="3051"/>
    <cellStyle name="Normal 4 31" xfId="3052"/>
    <cellStyle name="Normal 4 32" xfId="3053"/>
    <cellStyle name="Normal 4 33" xfId="3054"/>
    <cellStyle name="Normal 4 34" xfId="3055"/>
    <cellStyle name="Normal 4 35" xfId="3056"/>
    <cellStyle name="Normal 4 36" xfId="3057"/>
    <cellStyle name="Normal 4 37" xfId="3058"/>
    <cellStyle name="Normal 4 38" xfId="3059"/>
    <cellStyle name="Normal 4 39" xfId="3060"/>
    <cellStyle name="Normal 4 4" xfId="3061"/>
    <cellStyle name="Normal 4 5" xfId="3062"/>
    <cellStyle name="Normal 4 6" xfId="3063"/>
    <cellStyle name="Normal 4 7" xfId="3064"/>
    <cellStyle name="Normal 4 8" xfId="3065"/>
    <cellStyle name="Normal 4 9" xfId="3066"/>
    <cellStyle name="Normal 40" xfId="3067"/>
    <cellStyle name="Normal 40 10" xfId="3068"/>
    <cellStyle name="Normal 40 11" xfId="3069"/>
    <cellStyle name="Normal 40 12" xfId="3070"/>
    <cellStyle name="Normal 40 13" xfId="3071"/>
    <cellStyle name="Normal 40 14" xfId="3072"/>
    <cellStyle name="Normal 40 15" xfId="3073"/>
    <cellStyle name="Normal 40 16" xfId="3074"/>
    <cellStyle name="Normal 40 17" xfId="3075"/>
    <cellStyle name="Normal 40 18" xfId="3076"/>
    <cellStyle name="Normal 40 19" xfId="3077"/>
    <cellStyle name="Normal 40 2" xfId="3078"/>
    <cellStyle name="Normal 40 20" xfId="3079"/>
    <cellStyle name="Normal 40 3" xfId="3080"/>
    <cellStyle name="Normal 40 4" xfId="3081"/>
    <cellStyle name="Normal 40 5" xfId="3082"/>
    <cellStyle name="Normal 40 6" xfId="3083"/>
    <cellStyle name="Normal 40 7" xfId="3084"/>
    <cellStyle name="Normal 40 8" xfId="3085"/>
    <cellStyle name="Normal 40 9" xfId="3086"/>
    <cellStyle name="Normal 41" xfId="3087"/>
    <cellStyle name="Normal 41 10" xfId="3088"/>
    <cellStyle name="Normal 41 11" xfId="3089"/>
    <cellStyle name="Normal 41 12" xfId="3090"/>
    <cellStyle name="Normal 41 13" xfId="3091"/>
    <cellStyle name="Normal 41 14" xfId="3092"/>
    <cellStyle name="Normal 41 15" xfId="3093"/>
    <cellStyle name="Normal 41 16" xfId="3094"/>
    <cellStyle name="Normal 41 17" xfId="3095"/>
    <cellStyle name="Normal 41 18" xfId="3096"/>
    <cellStyle name="Normal 41 19" xfId="3097"/>
    <cellStyle name="Normal 41 2" xfId="3098"/>
    <cellStyle name="Normal 41 20" xfId="3099"/>
    <cellStyle name="Normal 41 3" xfId="3100"/>
    <cellStyle name="Normal 41 4" xfId="3101"/>
    <cellStyle name="Normal 41 5" xfId="3102"/>
    <cellStyle name="Normal 41 6" xfId="3103"/>
    <cellStyle name="Normal 41 7" xfId="3104"/>
    <cellStyle name="Normal 41 8" xfId="3105"/>
    <cellStyle name="Normal 41 9" xfId="3106"/>
    <cellStyle name="Normal 42" xfId="3107"/>
    <cellStyle name="Normal 42 10" xfId="3108"/>
    <cellStyle name="Normal 42 11" xfId="3109"/>
    <cellStyle name="Normal 42 12" xfId="3110"/>
    <cellStyle name="Normal 42 13" xfId="3111"/>
    <cellStyle name="Normal 42 14" xfId="3112"/>
    <cellStyle name="Normal 42 15" xfId="3113"/>
    <cellStyle name="Normal 42 16" xfId="3114"/>
    <cellStyle name="Normal 42 17" xfId="3115"/>
    <cellStyle name="Normal 42 18" xfId="3116"/>
    <cellStyle name="Normal 42 19" xfId="3117"/>
    <cellStyle name="Normal 42 2" xfId="3118"/>
    <cellStyle name="Normal 42 20" xfId="3119"/>
    <cellStyle name="Normal 42 3" xfId="3120"/>
    <cellStyle name="Normal 42 4" xfId="3121"/>
    <cellStyle name="Normal 42 5" xfId="3122"/>
    <cellStyle name="Normal 42 6" xfId="3123"/>
    <cellStyle name="Normal 42 7" xfId="3124"/>
    <cellStyle name="Normal 42 8" xfId="3125"/>
    <cellStyle name="Normal 42 9" xfId="3126"/>
    <cellStyle name="Normal 43" xfId="3127"/>
    <cellStyle name="Normal 43 10" xfId="3128"/>
    <cellStyle name="Normal 43 11" xfId="3129"/>
    <cellStyle name="Normal 43 12" xfId="3130"/>
    <cellStyle name="Normal 43 13" xfId="3131"/>
    <cellStyle name="Normal 43 14" xfId="3132"/>
    <cellStyle name="Normal 43 15" xfId="3133"/>
    <cellStyle name="Normal 43 16" xfId="3134"/>
    <cellStyle name="Normal 43 17" xfId="3135"/>
    <cellStyle name="Normal 43 18" xfId="3136"/>
    <cellStyle name="Normal 43 19" xfId="3137"/>
    <cellStyle name="Normal 43 2" xfId="3138"/>
    <cellStyle name="Normal 43 20" xfId="3139"/>
    <cellStyle name="Normal 43 3" xfId="3140"/>
    <cellStyle name="Normal 43 4" xfId="3141"/>
    <cellStyle name="Normal 43 5" xfId="3142"/>
    <cellStyle name="Normal 43 6" xfId="3143"/>
    <cellStyle name="Normal 43 7" xfId="3144"/>
    <cellStyle name="Normal 43 8" xfId="3145"/>
    <cellStyle name="Normal 43 9" xfId="3146"/>
    <cellStyle name="Normal 44" xfId="3147"/>
    <cellStyle name="Normal 44 10" xfId="3148"/>
    <cellStyle name="Normal 44 11" xfId="3149"/>
    <cellStyle name="Normal 44 12" xfId="3150"/>
    <cellStyle name="Normal 44 13" xfId="3151"/>
    <cellStyle name="Normal 44 14" xfId="3152"/>
    <cellStyle name="Normal 44 15" xfId="3153"/>
    <cellStyle name="Normal 44 16" xfId="3154"/>
    <cellStyle name="Normal 44 17" xfId="3155"/>
    <cellStyle name="Normal 44 18" xfId="3156"/>
    <cellStyle name="Normal 44 19" xfId="3157"/>
    <cellStyle name="Normal 44 2" xfId="3158"/>
    <cellStyle name="Normal 44 20" xfId="3159"/>
    <cellStyle name="Normal 44 3" xfId="3160"/>
    <cellStyle name="Normal 44 4" xfId="3161"/>
    <cellStyle name="Normal 44 5" xfId="3162"/>
    <cellStyle name="Normal 44 6" xfId="3163"/>
    <cellStyle name="Normal 44 7" xfId="3164"/>
    <cellStyle name="Normal 44 8" xfId="3165"/>
    <cellStyle name="Normal 44 9" xfId="3166"/>
    <cellStyle name="Normal 45" xfId="3167"/>
    <cellStyle name="Normal 45 10" xfId="3168"/>
    <cellStyle name="Normal 45 11" xfId="3169"/>
    <cellStyle name="Normal 45 12" xfId="3170"/>
    <cellStyle name="Normal 45 13" xfId="3171"/>
    <cellStyle name="Normal 45 14" xfId="3172"/>
    <cellStyle name="Normal 45 15" xfId="3173"/>
    <cellStyle name="Normal 45 16" xfId="3174"/>
    <cellStyle name="Normal 45 17" xfId="3175"/>
    <cellStyle name="Normal 45 18" xfId="3176"/>
    <cellStyle name="Normal 45 19" xfId="3177"/>
    <cellStyle name="Normal 45 2" xfId="3178"/>
    <cellStyle name="Normal 45 20" xfId="3179"/>
    <cellStyle name="Normal 45 3" xfId="3180"/>
    <cellStyle name="Normal 45 4" xfId="3181"/>
    <cellStyle name="Normal 45 5" xfId="3182"/>
    <cellStyle name="Normal 45 6" xfId="3183"/>
    <cellStyle name="Normal 45 7" xfId="3184"/>
    <cellStyle name="Normal 45 8" xfId="3185"/>
    <cellStyle name="Normal 45 9" xfId="3186"/>
    <cellStyle name="Normal 46" xfId="3187"/>
    <cellStyle name="Normal 46 10" xfId="3188"/>
    <cellStyle name="Normal 46 11" xfId="3189"/>
    <cellStyle name="Normal 46 12" xfId="3190"/>
    <cellStyle name="Normal 46 13" xfId="3191"/>
    <cellStyle name="Normal 46 14" xfId="3192"/>
    <cellStyle name="Normal 46 15" xfId="3193"/>
    <cellStyle name="Normal 46 16" xfId="3194"/>
    <cellStyle name="Normal 46 17" xfId="3195"/>
    <cellStyle name="Normal 46 18" xfId="3196"/>
    <cellStyle name="Normal 46 19" xfId="3197"/>
    <cellStyle name="Normal 46 2" xfId="3198"/>
    <cellStyle name="Normal 46 20" xfId="3199"/>
    <cellStyle name="Normal 46 3" xfId="3200"/>
    <cellStyle name="Normal 46 4" xfId="3201"/>
    <cellStyle name="Normal 46 5" xfId="3202"/>
    <cellStyle name="Normal 46 6" xfId="3203"/>
    <cellStyle name="Normal 46 7" xfId="3204"/>
    <cellStyle name="Normal 46 8" xfId="3205"/>
    <cellStyle name="Normal 46 9" xfId="3206"/>
    <cellStyle name="Normal 47" xfId="3207"/>
    <cellStyle name="Normal 47 10" xfId="3208"/>
    <cellStyle name="Normal 47 11" xfId="3209"/>
    <cellStyle name="Normal 47 12" xfId="3210"/>
    <cellStyle name="Normal 47 13" xfId="3211"/>
    <cellStyle name="Normal 47 14" xfId="3212"/>
    <cellStyle name="Normal 47 15" xfId="3213"/>
    <cellStyle name="Normal 47 16" xfId="3214"/>
    <cellStyle name="Normal 47 17" xfId="3215"/>
    <cellStyle name="Normal 47 18" xfId="3216"/>
    <cellStyle name="Normal 47 19" xfId="3217"/>
    <cellStyle name="Normal 47 2" xfId="3218"/>
    <cellStyle name="Normal 47 20" xfId="3219"/>
    <cellStyle name="Normal 47 3" xfId="3220"/>
    <cellStyle name="Normal 47 4" xfId="3221"/>
    <cellStyle name="Normal 47 5" xfId="3222"/>
    <cellStyle name="Normal 47 6" xfId="3223"/>
    <cellStyle name="Normal 47 7" xfId="3224"/>
    <cellStyle name="Normal 47 8" xfId="3225"/>
    <cellStyle name="Normal 47 9" xfId="3226"/>
    <cellStyle name="Normal 48" xfId="3227"/>
    <cellStyle name="Normal 48 10" xfId="3228"/>
    <cellStyle name="Normal 48 11" xfId="3229"/>
    <cellStyle name="Normal 48 12" xfId="3230"/>
    <cellStyle name="Normal 48 13" xfId="3231"/>
    <cellStyle name="Normal 48 14" xfId="3232"/>
    <cellStyle name="Normal 48 15" xfId="3233"/>
    <cellStyle name="Normal 48 16" xfId="3234"/>
    <cellStyle name="Normal 48 17" xfId="3235"/>
    <cellStyle name="Normal 48 18" xfId="3236"/>
    <cellStyle name="Normal 48 19" xfId="3237"/>
    <cellStyle name="Normal 48 2" xfId="3238"/>
    <cellStyle name="Normal 48 20" xfId="3239"/>
    <cellStyle name="Normal 48 3" xfId="3240"/>
    <cellStyle name="Normal 48 4" xfId="3241"/>
    <cellStyle name="Normal 48 5" xfId="3242"/>
    <cellStyle name="Normal 48 6" xfId="3243"/>
    <cellStyle name="Normal 48 7" xfId="3244"/>
    <cellStyle name="Normal 48 8" xfId="3245"/>
    <cellStyle name="Normal 48 9" xfId="3246"/>
    <cellStyle name="Normal 49" xfId="3247"/>
    <cellStyle name="Normal 49 10" xfId="3248"/>
    <cellStyle name="Normal 49 11" xfId="3249"/>
    <cellStyle name="Normal 49 12" xfId="3250"/>
    <cellStyle name="Normal 49 13" xfId="3251"/>
    <cellStyle name="Normal 49 14" xfId="3252"/>
    <cellStyle name="Normal 49 15" xfId="3253"/>
    <cellStyle name="Normal 49 16" xfId="3254"/>
    <cellStyle name="Normal 49 17" xfId="3255"/>
    <cellStyle name="Normal 49 18" xfId="3256"/>
    <cellStyle name="Normal 49 19" xfId="3257"/>
    <cellStyle name="Normal 49 2" xfId="3258"/>
    <cellStyle name="Normal 49 20" xfId="3259"/>
    <cellStyle name="Normal 49 3" xfId="3260"/>
    <cellStyle name="Normal 49 4" xfId="3261"/>
    <cellStyle name="Normal 49 5" xfId="3262"/>
    <cellStyle name="Normal 49 6" xfId="3263"/>
    <cellStyle name="Normal 49 7" xfId="3264"/>
    <cellStyle name="Normal 49 8" xfId="3265"/>
    <cellStyle name="Normal 49 9" xfId="3266"/>
    <cellStyle name="Normal 5" xfId="10"/>
    <cellStyle name="Normal 5 10" xfId="3267"/>
    <cellStyle name="Normal 5 11" xfId="3268"/>
    <cellStyle name="Normal 5 12" xfId="3269"/>
    <cellStyle name="Normal 5 13" xfId="3270"/>
    <cellStyle name="Normal 5 14" xfId="3271"/>
    <cellStyle name="Normal 5 15" xfId="3272"/>
    <cellStyle name="Normal 5 16" xfId="3273"/>
    <cellStyle name="Normal 5 17" xfId="3274"/>
    <cellStyle name="Normal 5 18" xfId="3275"/>
    <cellStyle name="Normal 5 19" xfId="3276"/>
    <cellStyle name="Normal 5 2" xfId="3277"/>
    <cellStyle name="Normal 5 20" xfId="3278"/>
    <cellStyle name="Normal 5 21" xfId="3279"/>
    <cellStyle name="Normal 5 22" xfId="3280"/>
    <cellStyle name="Normal 5 23" xfId="3281"/>
    <cellStyle name="Normal 5 24" xfId="3282"/>
    <cellStyle name="Normal 5 25" xfId="3283"/>
    <cellStyle name="Normal 5 26" xfId="3284"/>
    <cellStyle name="Normal 5 27" xfId="3285"/>
    <cellStyle name="Normal 5 28" xfId="3286"/>
    <cellStyle name="Normal 5 29" xfId="3287"/>
    <cellStyle name="Normal 5 3" xfId="3288"/>
    <cellStyle name="Normal 5 30" xfId="3289"/>
    <cellStyle name="Normal 5 31" xfId="3290"/>
    <cellStyle name="Normal 5 32" xfId="3291"/>
    <cellStyle name="Normal 5 33" xfId="3292"/>
    <cellStyle name="Normal 5 34" xfId="3293"/>
    <cellStyle name="Normal 5 35" xfId="3294"/>
    <cellStyle name="Normal 5 36" xfId="3295"/>
    <cellStyle name="Normal 5 37" xfId="3296"/>
    <cellStyle name="Normal 5 38" xfId="3297"/>
    <cellStyle name="Normal 5 39" xfId="3298"/>
    <cellStyle name="Normal 5 39 10" xfId="3299"/>
    <cellStyle name="Normal 5 39 10 2" xfId="3300"/>
    <cellStyle name="Normal 5 39 10 2 2" xfId="3301"/>
    <cellStyle name="Normal 5 39 10 2 3" xfId="3302"/>
    <cellStyle name="Normal 5 39 10 2 4" xfId="3303"/>
    <cellStyle name="Normal 5 39 10 2 5" xfId="3304"/>
    <cellStyle name="Normal 5 39 10 3" xfId="3305"/>
    <cellStyle name="Normal 5 39 10 3 2" xfId="3306"/>
    <cellStyle name="Normal 5 39 10 3 3" xfId="3307"/>
    <cellStyle name="Normal 5 39 10 3 4" xfId="3308"/>
    <cellStyle name="Normal 5 39 10 3 5" xfId="3309"/>
    <cellStyle name="Normal 5 39 10 4" xfId="3310"/>
    <cellStyle name="Normal 5 39 10 4 2" xfId="3311"/>
    <cellStyle name="Normal 5 39 10 4 3" xfId="3312"/>
    <cellStyle name="Normal 5 39 10 4 4" xfId="3313"/>
    <cellStyle name="Normal 5 39 10 4 5" xfId="3314"/>
    <cellStyle name="Normal 5 39 10 5" xfId="3315"/>
    <cellStyle name="Normal 5 39 10 6" xfId="3316"/>
    <cellStyle name="Normal 5 39 10 7" xfId="3317"/>
    <cellStyle name="Normal 5 39 10 8" xfId="3318"/>
    <cellStyle name="Normal 5 39 11" xfId="3319"/>
    <cellStyle name="Normal 5 39 11 2" xfId="3320"/>
    <cellStyle name="Normal 5 39 11 2 2" xfId="3321"/>
    <cellStyle name="Normal 5 39 11 2 3" xfId="3322"/>
    <cellStyle name="Normal 5 39 11 2 4" xfId="3323"/>
    <cellStyle name="Normal 5 39 11 2 5" xfId="3324"/>
    <cellStyle name="Normal 5 39 11 3" xfId="3325"/>
    <cellStyle name="Normal 5 39 11 3 2" xfId="3326"/>
    <cellStyle name="Normal 5 39 11 3 3" xfId="3327"/>
    <cellStyle name="Normal 5 39 11 3 4" xfId="3328"/>
    <cellStyle name="Normal 5 39 11 3 5" xfId="3329"/>
    <cellStyle name="Normal 5 39 11 4" xfId="3330"/>
    <cellStyle name="Normal 5 39 11 4 2" xfId="3331"/>
    <cellStyle name="Normal 5 39 11 4 3" xfId="3332"/>
    <cellStyle name="Normal 5 39 11 4 4" xfId="3333"/>
    <cellStyle name="Normal 5 39 11 4 5" xfId="3334"/>
    <cellStyle name="Normal 5 39 11 5" xfId="3335"/>
    <cellStyle name="Normal 5 39 11 6" xfId="3336"/>
    <cellStyle name="Normal 5 39 11 7" xfId="3337"/>
    <cellStyle name="Normal 5 39 11 8" xfId="3338"/>
    <cellStyle name="Normal 5 39 12" xfId="3339"/>
    <cellStyle name="Normal 5 39 12 2" xfId="3340"/>
    <cellStyle name="Normal 5 39 12 3" xfId="3341"/>
    <cellStyle name="Normal 5 39 12 4" xfId="3342"/>
    <cellStyle name="Normal 5 39 12 5" xfId="3343"/>
    <cellStyle name="Normal 5 39 13" xfId="3344"/>
    <cellStyle name="Normal 5 39 13 2" xfId="3345"/>
    <cellStyle name="Normal 5 39 13 3" xfId="3346"/>
    <cellStyle name="Normal 5 39 13 4" xfId="3347"/>
    <cellStyle name="Normal 5 39 13 5" xfId="3348"/>
    <cellStyle name="Normal 5 39 14" xfId="3349"/>
    <cellStyle name="Normal 5 39 14 2" xfId="3350"/>
    <cellStyle name="Normal 5 39 14 3" xfId="3351"/>
    <cellStyle name="Normal 5 39 14 4" xfId="3352"/>
    <cellStyle name="Normal 5 39 14 5" xfId="3353"/>
    <cellStyle name="Normal 5 39 15" xfId="3354"/>
    <cellStyle name="Normal 5 39 16" xfId="3355"/>
    <cellStyle name="Normal 5 39 17" xfId="3356"/>
    <cellStyle name="Normal 5 39 18" xfId="3357"/>
    <cellStyle name="Normal 5 39 2" xfId="3358"/>
    <cellStyle name="Normal 5 39 2 2" xfId="3359"/>
    <cellStyle name="Normal 5 39 2 2 2" xfId="3360"/>
    <cellStyle name="Normal 5 39 2 2 3" xfId="3361"/>
    <cellStyle name="Normal 5 39 2 2 4" xfId="3362"/>
    <cellStyle name="Normal 5 39 2 2 5" xfId="3363"/>
    <cellStyle name="Normal 5 39 2 3" xfId="3364"/>
    <cellStyle name="Normal 5 39 2 3 2" xfId="3365"/>
    <cellStyle name="Normal 5 39 2 3 3" xfId="3366"/>
    <cellStyle name="Normal 5 39 2 3 4" xfId="3367"/>
    <cellStyle name="Normal 5 39 2 3 5" xfId="3368"/>
    <cellStyle name="Normal 5 39 2 4" xfId="3369"/>
    <cellStyle name="Normal 5 39 2 4 2" xfId="3370"/>
    <cellStyle name="Normal 5 39 2 4 3" xfId="3371"/>
    <cellStyle name="Normal 5 39 2 4 4" xfId="3372"/>
    <cellStyle name="Normal 5 39 2 4 5" xfId="3373"/>
    <cellStyle name="Normal 5 39 2 5" xfId="3374"/>
    <cellStyle name="Normal 5 39 2 6" xfId="3375"/>
    <cellStyle name="Normal 5 39 2 7" xfId="3376"/>
    <cellStyle name="Normal 5 39 2 8" xfId="3377"/>
    <cellStyle name="Normal 5 39 3" xfId="3378"/>
    <cellStyle name="Normal 5 39 3 2" xfId="3379"/>
    <cellStyle name="Normal 5 39 3 2 2" xfId="3380"/>
    <cellStyle name="Normal 5 39 3 2 3" xfId="3381"/>
    <cellStyle name="Normal 5 39 3 2 4" xfId="3382"/>
    <cellStyle name="Normal 5 39 3 2 5" xfId="3383"/>
    <cellStyle name="Normal 5 39 3 3" xfId="3384"/>
    <cellStyle name="Normal 5 39 3 3 2" xfId="3385"/>
    <cellStyle name="Normal 5 39 3 3 3" xfId="3386"/>
    <cellStyle name="Normal 5 39 3 3 4" xfId="3387"/>
    <cellStyle name="Normal 5 39 3 3 5" xfId="3388"/>
    <cellStyle name="Normal 5 39 3 4" xfId="3389"/>
    <cellStyle name="Normal 5 39 3 4 2" xfId="3390"/>
    <cellStyle name="Normal 5 39 3 4 3" xfId="3391"/>
    <cellStyle name="Normal 5 39 3 4 4" xfId="3392"/>
    <cellStyle name="Normal 5 39 3 4 5" xfId="3393"/>
    <cellStyle name="Normal 5 39 3 5" xfId="3394"/>
    <cellStyle name="Normal 5 39 3 6" xfId="3395"/>
    <cellStyle name="Normal 5 39 3 7" xfId="3396"/>
    <cellStyle name="Normal 5 39 3 8" xfId="3397"/>
    <cellStyle name="Normal 5 39 4" xfId="3398"/>
    <cellStyle name="Normal 5 39 4 2" xfId="3399"/>
    <cellStyle name="Normal 5 39 4 2 2" xfId="3400"/>
    <cellStyle name="Normal 5 39 4 2 3" xfId="3401"/>
    <cellStyle name="Normal 5 39 4 2 4" xfId="3402"/>
    <cellStyle name="Normal 5 39 4 2 5" xfId="3403"/>
    <cellStyle name="Normal 5 39 4 3" xfId="3404"/>
    <cellStyle name="Normal 5 39 4 3 2" xfId="3405"/>
    <cellStyle name="Normal 5 39 4 3 3" xfId="3406"/>
    <cellStyle name="Normal 5 39 4 3 4" xfId="3407"/>
    <cellStyle name="Normal 5 39 4 3 5" xfId="3408"/>
    <cellStyle name="Normal 5 39 4 4" xfId="3409"/>
    <cellStyle name="Normal 5 39 4 4 2" xfId="3410"/>
    <cellStyle name="Normal 5 39 4 4 3" xfId="3411"/>
    <cellStyle name="Normal 5 39 4 4 4" xfId="3412"/>
    <cellStyle name="Normal 5 39 4 4 5" xfId="3413"/>
    <cellStyle name="Normal 5 39 4 5" xfId="3414"/>
    <cellStyle name="Normal 5 39 4 6" xfId="3415"/>
    <cellStyle name="Normal 5 39 4 7" xfId="3416"/>
    <cellStyle name="Normal 5 39 4 8" xfId="3417"/>
    <cellStyle name="Normal 5 39 5" xfId="3418"/>
    <cellStyle name="Normal 5 39 5 2" xfId="3419"/>
    <cellStyle name="Normal 5 39 5 2 2" xfId="3420"/>
    <cellStyle name="Normal 5 39 5 2 3" xfId="3421"/>
    <cellStyle name="Normal 5 39 5 2 4" xfId="3422"/>
    <cellStyle name="Normal 5 39 5 2 5" xfId="3423"/>
    <cellStyle name="Normal 5 39 5 3" xfId="3424"/>
    <cellStyle name="Normal 5 39 5 3 2" xfId="3425"/>
    <cellStyle name="Normal 5 39 5 3 3" xfId="3426"/>
    <cellStyle name="Normal 5 39 5 3 4" xfId="3427"/>
    <cellStyle name="Normal 5 39 5 3 5" xfId="3428"/>
    <cellStyle name="Normal 5 39 5 4" xfId="3429"/>
    <cellStyle name="Normal 5 39 5 4 2" xfId="3430"/>
    <cellStyle name="Normal 5 39 5 4 3" xfId="3431"/>
    <cellStyle name="Normal 5 39 5 4 4" xfId="3432"/>
    <cellStyle name="Normal 5 39 5 4 5" xfId="3433"/>
    <cellStyle name="Normal 5 39 5 5" xfId="3434"/>
    <cellStyle name="Normal 5 39 5 6" xfId="3435"/>
    <cellStyle name="Normal 5 39 5 7" xfId="3436"/>
    <cellStyle name="Normal 5 39 5 8" xfId="3437"/>
    <cellStyle name="Normal 5 39 6" xfId="3438"/>
    <cellStyle name="Normal 5 39 6 2" xfId="3439"/>
    <cellStyle name="Normal 5 39 6 2 2" xfId="3440"/>
    <cellStyle name="Normal 5 39 6 2 3" xfId="3441"/>
    <cellStyle name="Normal 5 39 6 2 4" xfId="3442"/>
    <cellStyle name="Normal 5 39 6 2 5" xfId="3443"/>
    <cellStyle name="Normal 5 39 6 3" xfId="3444"/>
    <cellStyle name="Normal 5 39 6 3 2" xfId="3445"/>
    <cellStyle name="Normal 5 39 6 3 3" xfId="3446"/>
    <cellStyle name="Normal 5 39 6 3 4" xfId="3447"/>
    <cellStyle name="Normal 5 39 6 3 5" xfId="3448"/>
    <cellStyle name="Normal 5 39 6 4" xfId="3449"/>
    <cellStyle name="Normal 5 39 6 4 2" xfId="3450"/>
    <cellStyle name="Normal 5 39 6 4 3" xfId="3451"/>
    <cellStyle name="Normal 5 39 6 4 4" xfId="3452"/>
    <cellStyle name="Normal 5 39 6 4 5" xfId="3453"/>
    <cellStyle name="Normal 5 39 6 5" xfId="3454"/>
    <cellStyle name="Normal 5 39 6 6" xfId="3455"/>
    <cellStyle name="Normal 5 39 6 7" xfId="3456"/>
    <cellStyle name="Normal 5 39 6 8" xfId="3457"/>
    <cellStyle name="Normal 5 39 7" xfId="3458"/>
    <cellStyle name="Normal 5 39 7 2" xfId="3459"/>
    <cellStyle name="Normal 5 39 7 2 2" xfId="3460"/>
    <cellStyle name="Normal 5 39 7 2 3" xfId="3461"/>
    <cellStyle name="Normal 5 39 7 2 4" xfId="3462"/>
    <cellStyle name="Normal 5 39 7 2 5" xfId="3463"/>
    <cellStyle name="Normal 5 39 7 3" xfId="3464"/>
    <cellStyle name="Normal 5 39 7 3 2" xfId="3465"/>
    <cellStyle name="Normal 5 39 7 3 3" xfId="3466"/>
    <cellStyle name="Normal 5 39 7 3 4" xfId="3467"/>
    <cellStyle name="Normal 5 39 7 3 5" xfId="3468"/>
    <cellStyle name="Normal 5 39 7 4" xfId="3469"/>
    <cellStyle name="Normal 5 39 7 4 2" xfId="3470"/>
    <cellStyle name="Normal 5 39 7 4 3" xfId="3471"/>
    <cellStyle name="Normal 5 39 7 4 4" xfId="3472"/>
    <cellStyle name="Normal 5 39 7 4 5" xfId="3473"/>
    <cellStyle name="Normal 5 39 7 5" xfId="3474"/>
    <cellStyle name="Normal 5 39 7 6" xfId="3475"/>
    <cellStyle name="Normal 5 39 7 7" xfId="3476"/>
    <cellStyle name="Normal 5 39 7 8" xfId="3477"/>
    <cellStyle name="Normal 5 39 8" xfId="3478"/>
    <cellStyle name="Normal 5 39 8 2" xfId="3479"/>
    <cellStyle name="Normal 5 39 8 2 2" xfId="3480"/>
    <cellStyle name="Normal 5 39 8 2 3" xfId="3481"/>
    <cellStyle name="Normal 5 39 8 2 4" xfId="3482"/>
    <cellStyle name="Normal 5 39 8 2 5" xfId="3483"/>
    <cellStyle name="Normal 5 39 8 3" xfId="3484"/>
    <cellStyle name="Normal 5 39 8 3 2" xfId="3485"/>
    <cellStyle name="Normal 5 39 8 3 3" xfId="3486"/>
    <cellStyle name="Normal 5 39 8 3 4" xfId="3487"/>
    <cellStyle name="Normal 5 39 8 3 5" xfId="3488"/>
    <cellStyle name="Normal 5 39 8 4" xfId="3489"/>
    <cellStyle name="Normal 5 39 8 4 2" xfId="3490"/>
    <cellStyle name="Normal 5 39 8 4 3" xfId="3491"/>
    <cellStyle name="Normal 5 39 8 4 4" xfId="3492"/>
    <cellStyle name="Normal 5 39 8 4 5" xfId="3493"/>
    <cellStyle name="Normal 5 39 8 5" xfId="3494"/>
    <cellStyle name="Normal 5 39 8 6" xfId="3495"/>
    <cellStyle name="Normal 5 39 8 7" xfId="3496"/>
    <cellStyle name="Normal 5 39 8 8" xfId="3497"/>
    <cellStyle name="Normal 5 39 9" xfId="3498"/>
    <cellStyle name="Normal 5 39 9 2" xfId="3499"/>
    <cellStyle name="Normal 5 39 9 2 2" xfId="3500"/>
    <cellStyle name="Normal 5 39 9 2 3" xfId="3501"/>
    <cellStyle name="Normal 5 39 9 2 4" xfId="3502"/>
    <cellStyle name="Normal 5 39 9 2 5" xfId="3503"/>
    <cellStyle name="Normal 5 39 9 3" xfId="3504"/>
    <cellStyle name="Normal 5 39 9 3 2" xfId="3505"/>
    <cellStyle name="Normal 5 39 9 3 3" xfId="3506"/>
    <cellStyle name="Normal 5 39 9 3 4" xfId="3507"/>
    <cellStyle name="Normal 5 39 9 3 5" xfId="3508"/>
    <cellStyle name="Normal 5 39 9 4" xfId="3509"/>
    <cellStyle name="Normal 5 39 9 4 2" xfId="3510"/>
    <cellStyle name="Normal 5 39 9 4 3" xfId="3511"/>
    <cellStyle name="Normal 5 39 9 4 4" xfId="3512"/>
    <cellStyle name="Normal 5 39 9 4 5" xfId="3513"/>
    <cellStyle name="Normal 5 39 9 5" xfId="3514"/>
    <cellStyle name="Normal 5 39 9 6" xfId="3515"/>
    <cellStyle name="Normal 5 39 9 7" xfId="3516"/>
    <cellStyle name="Normal 5 39 9 8" xfId="3517"/>
    <cellStyle name="Normal 5 4" xfId="3518"/>
    <cellStyle name="Normal 5 40" xfId="3519"/>
    <cellStyle name="Normal 5 40 10" xfId="3520"/>
    <cellStyle name="Normal 5 40 10 2" xfId="3521"/>
    <cellStyle name="Normal 5 40 10 2 2" xfId="3522"/>
    <cellStyle name="Normal 5 40 10 2 3" xfId="3523"/>
    <cellStyle name="Normal 5 40 10 2 4" xfId="3524"/>
    <cellStyle name="Normal 5 40 10 2 5" xfId="3525"/>
    <cellStyle name="Normal 5 40 10 3" xfId="3526"/>
    <cellStyle name="Normal 5 40 10 3 2" xfId="3527"/>
    <cellStyle name="Normal 5 40 10 3 3" xfId="3528"/>
    <cellStyle name="Normal 5 40 10 3 4" xfId="3529"/>
    <cellStyle name="Normal 5 40 10 3 5" xfId="3530"/>
    <cellStyle name="Normal 5 40 10 4" xfId="3531"/>
    <cellStyle name="Normal 5 40 10 4 2" xfId="3532"/>
    <cellStyle name="Normal 5 40 10 4 3" xfId="3533"/>
    <cellStyle name="Normal 5 40 10 4 4" xfId="3534"/>
    <cellStyle name="Normal 5 40 10 4 5" xfId="3535"/>
    <cellStyle name="Normal 5 40 10 5" xfId="3536"/>
    <cellStyle name="Normal 5 40 10 6" xfId="3537"/>
    <cellStyle name="Normal 5 40 10 7" xfId="3538"/>
    <cellStyle name="Normal 5 40 10 8" xfId="3539"/>
    <cellStyle name="Normal 5 40 11" xfId="3540"/>
    <cellStyle name="Normal 5 40 11 2" xfId="3541"/>
    <cellStyle name="Normal 5 40 11 2 2" xfId="3542"/>
    <cellStyle name="Normal 5 40 11 2 3" xfId="3543"/>
    <cellStyle name="Normal 5 40 11 2 4" xfId="3544"/>
    <cellStyle name="Normal 5 40 11 2 5" xfId="3545"/>
    <cellStyle name="Normal 5 40 11 3" xfId="3546"/>
    <cellStyle name="Normal 5 40 11 3 2" xfId="3547"/>
    <cellStyle name="Normal 5 40 11 3 3" xfId="3548"/>
    <cellStyle name="Normal 5 40 11 3 4" xfId="3549"/>
    <cellStyle name="Normal 5 40 11 3 5" xfId="3550"/>
    <cellStyle name="Normal 5 40 11 4" xfId="3551"/>
    <cellStyle name="Normal 5 40 11 4 2" xfId="3552"/>
    <cellStyle name="Normal 5 40 11 4 3" xfId="3553"/>
    <cellStyle name="Normal 5 40 11 4 4" xfId="3554"/>
    <cellStyle name="Normal 5 40 11 4 5" xfId="3555"/>
    <cellStyle name="Normal 5 40 11 5" xfId="3556"/>
    <cellStyle name="Normal 5 40 11 6" xfId="3557"/>
    <cellStyle name="Normal 5 40 11 7" xfId="3558"/>
    <cellStyle name="Normal 5 40 11 8" xfId="3559"/>
    <cellStyle name="Normal 5 40 12" xfId="3560"/>
    <cellStyle name="Normal 5 40 12 2" xfId="3561"/>
    <cellStyle name="Normal 5 40 12 3" xfId="3562"/>
    <cellStyle name="Normal 5 40 12 4" xfId="3563"/>
    <cellStyle name="Normal 5 40 12 5" xfId="3564"/>
    <cellStyle name="Normal 5 40 13" xfId="3565"/>
    <cellStyle name="Normal 5 40 13 2" xfId="3566"/>
    <cellStyle name="Normal 5 40 13 3" xfId="3567"/>
    <cellStyle name="Normal 5 40 13 4" xfId="3568"/>
    <cellStyle name="Normal 5 40 13 5" xfId="3569"/>
    <cellStyle name="Normal 5 40 14" xfId="3570"/>
    <cellStyle name="Normal 5 40 14 2" xfId="3571"/>
    <cellStyle name="Normal 5 40 14 3" xfId="3572"/>
    <cellStyle name="Normal 5 40 14 4" xfId="3573"/>
    <cellStyle name="Normal 5 40 14 5" xfId="3574"/>
    <cellStyle name="Normal 5 40 15" xfId="3575"/>
    <cellStyle name="Normal 5 40 16" xfId="3576"/>
    <cellStyle name="Normal 5 40 17" xfId="3577"/>
    <cellStyle name="Normal 5 40 18" xfId="3578"/>
    <cellStyle name="Normal 5 40 2" xfId="3579"/>
    <cellStyle name="Normal 5 40 2 2" xfId="3580"/>
    <cellStyle name="Normal 5 40 2 2 2" xfId="3581"/>
    <cellStyle name="Normal 5 40 2 2 3" xfId="3582"/>
    <cellStyle name="Normal 5 40 2 2 4" xfId="3583"/>
    <cellStyle name="Normal 5 40 2 2 5" xfId="3584"/>
    <cellStyle name="Normal 5 40 2 3" xfId="3585"/>
    <cellStyle name="Normal 5 40 2 3 2" xfId="3586"/>
    <cellStyle name="Normal 5 40 2 3 3" xfId="3587"/>
    <cellStyle name="Normal 5 40 2 3 4" xfId="3588"/>
    <cellStyle name="Normal 5 40 2 3 5" xfId="3589"/>
    <cellStyle name="Normal 5 40 2 4" xfId="3590"/>
    <cellStyle name="Normal 5 40 2 4 2" xfId="3591"/>
    <cellStyle name="Normal 5 40 2 4 3" xfId="3592"/>
    <cellStyle name="Normal 5 40 2 4 4" xfId="3593"/>
    <cellStyle name="Normal 5 40 2 4 5" xfId="3594"/>
    <cellStyle name="Normal 5 40 2 5" xfId="3595"/>
    <cellStyle name="Normal 5 40 2 6" xfId="3596"/>
    <cellStyle name="Normal 5 40 2 7" xfId="3597"/>
    <cellStyle name="Normal 5 40 2 8" xfId="3598"/>
    <cellStyle name="Normal 5 40 3" xfId="3599"/>
    <cellStyle name="Normal 5 40 3 2" xfId="3600"/>
    <cellStyle name="Normal 5 40 3 2 2" xfId="3601"/>
    <cellStyle name="Normal 5 40 3 2 3" xfId="3602"/>
    <cellStyle name="Normal 5 40 3 2 4" xfId="3603"/>
    <cellStyle name="Normal 5 40 3 2 5" xfId="3604"/>
    <cellStyle name="Normal 5 40 3 3" xfId="3605"/>
    <cellStyle name="Normal 5 40 3 3 2" xfId="3606"/>
    <cellStyle name="Normal 5 40 3 3 3" xfId="3607"/>
    <cellStyle name="Normal 5 40 3 3 4" xfId="3608"/>
    <cellStyle name="Normal 5 40 3 3 5" xfId="3609"/>
    <cellStyle name="Normal 5 40 3 4" xfId="3610"/>
    <cellStyle name="Normal 5 40 3 4 2" xfId="3611"/>
    <cellStyle name="Normal 5 40 3 4 3" xfId="3612"/>
    <cellStyle name="Normal 5 40 3 4 4" xfId="3613"/>
    <cellStyle name="Normal 5 40 3 4 5" xfId="3614"/>
    <cellStyle name="Normal 5 40 3 5" xfId="3615"/>
    <cellStyle name="Normal 5 40 3 6" xfId="3616"/>
    <cellStyle name="Normal 5 40 3 7" xfId="3617"/>
    <cellStyle name="Normal 5 40 3 8" xfId="3618"/>
    <cellStyle name="Normal 5 40 4" xfId="3619"/>
    <cellStyle name="Normal 5 40 4 2" xfId="3620"/>
    <cellStyle name="Normal 5 40 4 2 2" xfId="3621"/>
    <cellStyle name="Normal 5 40 4 2 3" xfId="3622"/>
    <cellStyle name="Normal 5 40 4 2 4" xfId="3623"/>
    <cellStyle name="Normal 5 40 4 2 5" xfId="3624"/>
    <cellStyle name="Normal 5 40 4 3" xfId="3625"/>
    <cellStyle name="Normal 5 40 4 3 2" xfId="3626"/>
    <cellStyle name="Normal 5 40 4 3 3" xfId="3627"/>
    <cellStyle name="Normal 5 40 4 3 4" xfId="3628"/>
    <cellStyle name="Normal 5 40 4 3 5" xfId="3629"/>
    <cellStyle name="Normal 5 40 4 4" xfId="3630"/>
    <cellStyle name="Normal 5 40 4 4 2" xfId="3631"/>
    <cellStyle name="Normal 5 40 4 4 3" xfId="3632"/>
    <cellStyle name="Normal 5 40 4 4 4" xfId="3633"/>
    <cellStyle name="Normal 5 40 4 4 5" xfId="3634"/>
    <cellStyle name="Normal 5 40 4 5" xfId="3635"/>
    <cellStyle name="Normal 5 40 4 6" xfId="3636"/>
    <cellStyle name="Normal 5 40 4 7" xfId="3637"/>
    <cellStyle name="Normal 5 40 4 8" xfId="3638"/>
    <cellStyle name="Normal 5 40 5" xfId="3639"/>
    <cellStyle name="Normal 5 40 5 2" xfId="3640"/>
    <cellStyle name="Normal 5 40 5 2 2" xfId="3641"/>
    <cellStyle name="Normal 5 40 5 2 3" xfId="3642"/>
    <cellStyle name="Normal 5 40 5 2 4" xfId="3643"/>
    <cellStyle name="Normal 5 40 5 2 5" xfId="3644"/>
    <cellStyle name="Normal 5 40 5 3" xfId="3645"/>
    <cellStyle name="Normal 5 40 5 3 2" xfId="3646"/>
    <cellStyle name="Normal 5 40 5 3 3" xfId="3647"/>
    <cellStyle name="Normal 5 40 5 3 4" xfId="3648"/>
    <cellStyle name="Normal 5 40 5 3 5" xfId="3649"/>
    <cellStyle name="Normal 5 40 5 4" xfId="3650"/>
    <cellStyle name="Normal 5 40 5 4 2" xfId="3651"/>
    <cellStyle name="Normal 5 40 5 4 3" xfId="3652"/>
    <cellStyle name="Normal 5 40 5 4 4" xfId="3653"/>
    <cellStyle name="Normal 5 40 5 4 5" xfId="3654"/>
    <cellStyle name="Normal 5 40 5 5" xfId="3655"/>
    <cellStyle name="Normal 5 40 5 6" xfId="3656"/>
    <cellStyle name="Normal 5 40 5 7" xfId="3657"/>
    <cellStyle name="Normal 5 40 5 8" xfId="3658"/>
    <cellStyle name="Normal 5 40 6" xfId="3659"/>
    <cellStyle name="Normal 5 40 6 2" xfId="3660"/>
    <cellStyle name="Normal 5 40 6 2 2" xfId="3661"/>
    <cellStyle name="Normal 5 40 6 2 3" xfId="3662"/>
    <cellStyle name="Normal 5 40 6 2 4" xfId="3663"/>
    <cellStyle name="Normal 5 40 6 2 5" xfId="3664"/>
    <cellStyle name="Normal 5 40 6 3" xfId="3665"/>
    <cellStyle name="Normal 5 40 6 3 2" xfId="3666"/>
    <cellStyle name="Normal 5 40 6 3 3" xfId="3667"/>
    <cellStyle name="Normal 5 40 6 3 4" xfId="3668"/>
    <cellStyle name="Normal 5 40 6 3 5" xfId="3669"/>
    <cellStyle name="Normal 5 40 6 4" xfId="3670"/>
    <cellStyle name="Normal 5 40 6 4 2" xfId="3671"/>
    <cellStyle name="Normal 5 40 6 4 3" xfId="3672"/>
    <cellStyle name="Normal 5 40 6 4 4" xfId="3673"/>
    <cellStyle name="Normal 5 40 6 4 5" xfId="3674"/>
    <cellStyle name="Normal 5 40 6 5" xfId="3675"/>
    <cellStyle name="Normal 5 40 6 6" xfId="3676"/>
    <cellStyle name="Normal 5 40 6 7" xfId="3677"/>
    <cellStyle name="Normal 5 40 6 8" xfId="3678"/>
    <cellStyle name="Normal 5 40 7" xfId="3679"/>
    <cellStyle name="Normal 5 40 7 2" xfId="3680"/>
    <cellStyle name="Normal 5 40 7 2 2" xfId="3681"/>
    <cellStyle name="Normal 5 40 7 2 3" xfId="3682"/>
    <cellStyle name="Normal 5 40 7 2 4" xfId="3683"/>
    <cellStyle name="Normal 5 40 7 2 5" xfId="3684"/>
    <cellStyle name="Normal 5 40 7 3" xfId="3685"/>
    <cellStyle name="Normal 5 40 7 3 2" xfId="3686"/>
    <cellStyle name="Normal 5 40 7 3 3" xfId="3687"/>
    <cellStyle name="Normal 5 40 7 3 4" xfId="3688"/>
    <cellStyle name="Normal 5 40 7 3 5" xfId="3689"/>
    <cellStyle name="Normal 5 40 7 4" xfId="3690"/>
    <cellStyle name="Normal 5 40 7 4 2" xfId="3691"/>
    <cellStyle name="Normal 5 40 7 4 3" xfId="3692"/>
    <cellStyle name="Normal 5 40 7 4 4" xfId="3693"/>
    <cellStyle name="Normal 5 40 7 4 5" xfId="3694"/>
    <cellStyle name="Normal 5 40 7 5" xfId="3695"/>
    <cellStyle name="Normal 5 40 7 6" xfId="3696"/>
    <cellStyle name="Normal 5 40 7 7" xfId="3697"/>
    <cellStyle name="Normal 5 40 7 8" xfId="3698"/>
    <cellStyle name="Normal 5 40 8" xfId="3699"/>
    <cellStyle name="Normal 5 40 8 2" xfId="3700"/>
    <cellStyle name="Normal 5 40 8 2 2" xfId="3701"/>
    <cellStyle name="Normal 5 40 8 2 3" xfId="3702"/>
    <cellStyle name="Normal 5 40 8 2 4" xfId="3703"/>
    <cellStyle name="Normal 5 40 8 2 5" xfId="3704"/>
    <cellStyle name="Normal 5 40 8 3" xfId="3705"/>
    <cellStyle name="Normal 5 40 8 3 2" xfId="3706"/>
    <cellStyle name="Normal 5 40 8 3 3" xfId="3707"/>
    <cellStyle name="Normal 5 40 8 3 4" xfId="3708"/>
    <cellStyle name="Normal 5 40 8 3 5" xfId="3709"/>
    <cellStyle name="Normal 5 40 8 4" xfId="3710"/>
    <cellStyle name="Normal 5 40 8 4 2" xfId="3711"/>
    <cellStyle name="Normal 5 40 8 4 3" xfId="3712"/>
    <cellStyle name="Normal 5 40 8 4 4" xfId="3713"/>
    <cellStyle name="Normal 5 40 8 4 5" xfId="3714"/>
    <cellStyle name="Normal 5 40 8 5" xfId="3715"/>
    <cellStyle name="Normal 5 40 8 6" xfId="3716"/>
    <cellStyle name="Normal 5 40 8 7" xfId="3717"/>
    <cellStyle name="Normal 5 40 8 8" xfId="3718"/>
    <cellStyle name="Normal 5 40 9" xfId="3719"/>
    <cellStyle name="Normal 5 40 9 2" xfId="3720"/>
    <cellStyle name="Normal 5 40 9 2 2" xfId="3721"/>
    <cellStyle name="Normal 5 40 9 2 3" xfId="3722"/>
    <cellStyle name="Normal 5 40 9 2 4" xfId="3723"/>
    <cellStyle name="Normal 5 40 9 2 5" xfId="3724"/>
    <cellStyle name="Normal 5 40 9 3" xfId="3725"/>
    <cellStyle name="Normal 5 40 9 3 2" xfId="3726"/>
    <cellStyle name="Normal 5 40 9 3 3" xfId="3727"/>
    <cellStyle name="Normal 5 40 9 3 4" xfId="3728"/>
    <cellStyle name="Normal 5 40 9 3 5" xfId="3729"/>
    <cellStyle name="Normal 5 40 9 4" xfId="3730"/>
    <cellStyle name="Normal 5 40 9 4 2" xfId="3731"/>
    <cellStyle name="Normal 5 40 9 4 3" xfId="3732"/>
    <cellStyle name="Normal 5 40 9 4 4" xfId="3733"/>
    <cellStyle name="Normal 5 40 9 4 5" xfId="3734"/>
    <cellStyle name="Normal 5 40 9 5" xfId="3735"/>
    <cellStyle name="Normal 5 40 9 6" xfId="3736"/>
    <cellStyle name="Normal 5 40 9 7" xfId="3737"/>
    <cellStyle name="Normal 5 40 9 8" xfId="3738"/>
    <cellStyle name="Normal 5 41" xfId="3739"/>
    <cellStyle name="Normal 5 41 10" xfId="3740"/>
    <cellStyle name="Normal 5 41 10 2" xfId="3741"/>
    <cellStyle name="Normal 5 41 10 2 2" xfId="3742"/>
    <cellStyle name="Normal 5 41 10 2 3" xfId="3743"/>
    <cellStyle name="Normal 5 41 10 2 4" xfId="3744"/>
    <cellStyle name="Normal 5 41 10 2 5" xfId="3745"/>
    <cellStyle name="Normal 5 41 10 3" xfId="3746"/>
    <cellStyle name="Normal 5 41 10 3 2" xfId="3747"/>
    <cellStyle name="Normal 5 41 10 3 3" xfId="3748"/>
    <cellStyle name="Normal 5 41 10 3 4" xfId="3749"/>
    <cellStyle name="Normal 5 41 10 3 5" xfId="3750"/>
    <cellStyle name="Normal 5 41 10 4" xfId="3751"/>
    <cellStyle name="Normal 5 41 10 4 2" xfId="3752"/>
    <cellStyle name="Normal 5 41 10 4 3" xfId="3753"/>
    <cellStyle name="Normal 5 41 10 4 4" xfId="3754"/>
    <cellStyle name="Normal 5 41 10 4 5" xfId="3755"/>
    <cellStyle name="Normal 5 41 10 5" xfId="3756"/>
    <cellStyle name="Normal 5 41 10 6" xfId="3757"/>
    <cellStyle name="Normal 5 41 10 7" xfId="3758"/>
    <cellStyle name="Normal 5 41 10 8" xfId="3759"/>
    <cellStyle name="Normal 5 41 11" xfId="3760"/>
    <cellStyle name="Normal 5 41 11 2" xfId="3761"/>
    <cellStyle name="Normal 5 41 11 2 2" xfId="3762"/>
    <cellStyle name="Normal 5 41 11 2 3" xfId="3763"/>
    <cellStyle name="Normal 5 41 11 2 4" xfId="3764"/>
    <cellStyle name="Normal 5 41 11 2 5" xfId="3765"/>
    <cellStyle name="Normal 5 41 11 3" xfId="3766"/>
    <cellStyle name="Normal 5 41 11 3 2" xfId="3767"/>
    <cellStyle name="Normal 5 41 11 3 3" xfId="3768"/>
    <cellStyle name="Normal 5 41 11 3 4" xfId="3769"/>
    <cellStyle name="Normal 5 41 11 3 5" xfId="3770"/>
    <cellStyle name="Normal 5 41 11 4" xfId="3771"/>
    <cellStyle name="Normal 5 41 11 4 2" xfId="3772"/>
    <cellStyle name="Normal 5 41 11 4 3" xfId="3773"/>
    <cellStyle name="Normal 5 41 11 4 4" xfId="3774"/>
    <cellStyle name="Normal 5 41 11 4 5" xfId="3775"/>
    <cellStyle name="Normal 5 41 11 5" xfId="3776"/>
    <cellStyle name="Normal 5 41 11 6" xfId="3777"/>
    <cellStyle name="Normal 5 41 11 7" xfId="3778"/>
    <cellStyle name="Normal 5 41 11 8" xfId="3779"/>
    <cellStyle name="Normal 5 41 12" xfId="3780"/>
    <cellStyle name="Normal 5 41 12 2" xfId="3781"/>
    <cellStyle name="Normal 5 41 12 3" xfId="3782"/>
    <cellStyle name="Normal 5 41 12 4" xfId="3783"/>
    <cellStyle name="Normal 5 41 12 5" xfId="3784"/>
    <cellStyle name="Normal 5 41 13" xfId="3785"/>
    <cellStyle name="Normal 5 41 13 2" xfId="3786"/>
    <cellStyle name="Normal 5 41 13 3" xfId="3787"/>
    <cellStyle name="Normal 5 41 13 4" xfId="3788"/>
    <cellStyle name="Normal 5 41 13 5" xfId="3789"/>
    <cellStyle name="Normal 5 41 14" xfId="3790"/>
    <cellStyle name="Normal 5 41 14 2" xfId="3791"/>
    <cellStyle name="Normal 5 41 14 3" xfId="3792"/>
    <cellStyle name="Normal 5 41 14 4" xfId="3793"/>
    <cellStyle name="Normal 5 41 14 5" xfId="3794"/>
    <cellStyle name="Normal 5 41 15" xfId="3795"/>
    <cellStyle name="Normal 5 41 16" xfId="3796"/>
    <cellStyle name="Normal 5 41 17" xfId="3797"/>
    <cellStyle name="Normal 5 41 18" xfId="3798"/>
    <cellStyle name="Normal 5 41 2" xfId="3799"/>
    <cellStyle name="Normal 5 41 2 2" xfId="3800"/>
    <cellStyle name="Normal 5 41 2 2 2" xfId="3801"/>
    <cellStyle name="Normal 5 41 2 2 3" xfId="3802"/>
    <cellStyle name="Normal 5 41 2 2 4" xfId="3803"/>
    <cellStyle name="Normal 5 41 2 2 5" xfId="3804"/>
    <cellStyle name="Normal 5 41 2 3" xfId="3805"/>
    <cellStyle name="Normal 5 41 2 3 2" xfId="3806"/>
    <cellStyle name="Normal 5 41 2 3 3" xfId="3807"/>
    <cellStyle name="Normal 5 41 2 3 4" xfId="3808"/>
    <cellStyle name="Normal 5 41 2 3 5" xfId="3809"/>
    <cellStyle name="Normal 5 41 2 4" xfId="3810"/>
    <cellStyle name="Normal 5 41 2 4 2" xfId="3811"/>
    <cellStyle name="Normal 5 41 2 4 3" xfId="3812"/>
    <cellStyle name="Normal 5 41 2 4 4" xfId="3813"/>
    <cellStyle name="Normal 5 41 2 4 5" xfId="3814"/>
    <cellStyle name="Normal 5 41 2 5" xfId="3815"/>
    <cellStyle name="Normal 5 41 2 6" xfId="3816"/>
    <cellStyle name="Normal 5 41 2 7" xfId="3817"/>
    <cellStyle name="Normal 5 41 2 8" xfId="3818"/>
    <cellStyle name="Normal 5 41 3" xfId="3819"/>
    <cellStyle name="Normal 5 41 3 2" xfId="3820"/>
    <cellStyle name="Normal 5 41 3 2 2" xfId="3821"/>
    <cellStyle name="Normal 5 41 3 2 3" xfId="3822"/>
    <cellStyle name="Normal 5 41 3 2 4" xfId="3823"/>
    <cellStyle name="Normal 5 41 3 2 5" xfId="3824"/>
    <cellStyle name="Normal 5 41 3 3" xfId="3825"/>
    <cellStyle name="Normal 5 41 3 3 2" xfId="3826"/>
    <cellStyle name="Normal 5 41 3 3 3" xfId="3827"/>
    <cellStyle name="Normal 5 41 3 3 4" xfId="3828"/>
    <cellStyle name="Normal 5 41 3 3 5" xfId="3829"/>
    <cellStyle name="Normal 5 41 3 4" xfId="3830"/>
    <cellStyle name="Normal 5 41 3 4 2" xfId="3831"/>
    <cellStyle name="Normal 5 41 3 4 3" xfId="3832"/>
    <cellStyle name="Normal 5 41 3 4 4" xfId="3833"/>
    <cellStyle name="Normal 5 41 3 4 5" xfId="3834"/>
    <cellStyle name="Normal 5 41 3 5" xfId="3835"/>
    <cellStyle name="Normal 5 41 3 6" xfId="3836"/>
    <cellStyle name="Normal 5 41 3 7" xfId="3837"/>
    <cellStyle name="Normal 5 41 3 8" xfId="3838"/>
    <cellStyle name="Normal 5 41 4" xfId="3839"/>
    <cellStyle name="Normal 5 41 4 2" xfId="3840"/>
    <cellStyle name="Normal 5 41 4 2 2" xfId="3841"/>
    <cellStyle name="Normal 5 41 4 2 3" xfId="3842"/>
    <cellStyle name="Normal 5 41 4 2 4" xfId="3843"/>
    <cellStyle name="Normal 5 41 4 2 5" xfId="3844"/>
    <cellStyle name="Normal 5 41 4 3" xfId="3845"/>
    <cellStyle name="Normal 5 41 4 3 2" xfId="3846"/>
    <cellStyle name="Normal 5 41 4 3 3" xfId="3847"/>
    <cellStyle name="Normal 5 41 4 3 4" xfId="3848"/>
    <cellStyle name="Normal 5 41 4 3 5" xfId="3849"/>
    <cellStyle name="Normal 5 41 4 4" xfId="3850"/>
    <cellStyle name="Normal 5 41 4 4 2" xfId="3851"/>
    <cellStyle name="Normal 5 41 4 4 3" xfId="3852"/>
    <cellStyle name="Normal 5 41 4 4 4" xfId="3853"/>
    <cellStyle name="Normal 5 41 4 4 5" xfId="3854"/>
    <cellStyle name="Normal 5 41 4 5" xfId="3855"/>
    <cellStyle name="Normal 5 41 4 6" xfId="3856"/>
    <cellStyle name="Normal 5 41 4 7" xfId="3857"/>
    <cellStyle name="Normal 5 41 4 8" xfId="3858"/>
    <cellStyle name="Normal 5 41 5" xfId="3859"/>
    <cellStyle name="Normal 5 41 5 2" xfId="3860"/>
    <cellStyle name="Normal 5 41 5 2 2" xfId="3861"/>
    <cellStyle name="Normal 5 41 5 2 3" xfId="3862"/>
    <cellStyle name="Normal 5 41 5 2 4" xfId="3863"/>
    <cellStyle name="Normal 5 41 5 2 5" xfId="3864"/>
    <cellStyle name="Normal 5 41 5 3" xfId="3865"/>
    <cellStyle name="Normal 5 41 5 3 2" xfId="3866"/>
    <cellStyle name="Normal 5 41 5 3 3" xfId="3867"/>
    <cellStyle name="Normal 5 41 5 3 4" xfId="3868"/>
    <cellStyle name="Normal 5 41 5 3 5" xfId="3869"/>
    <cellStyle name="Normal 5 41 5 4" xfId="3870"/>
    <cellStyle name="Normal 5 41 5 4 2" xfId="3871"/>
    <cellStyle name="Normal 5 41 5 4 3" xfId="3872"/>
    <cellStyle name="Normal 5 41 5 4 4" xfId="3873"/>
    <cellStyle name="Normal 5 41 5 4 5" xfId="3874"/>
    <cellStyle name="Normal 5 41 5 5" xfId="3875"/>
    <cellStyle name="Normal 5 41 5 6" xfId="3876"/>
    <cellStyle name="Normal 5 41 5 7" xfId="3877"/>
    <cellStyle name="Normal 5 41 5 8" xfId="3878"/>
    <cellStyle name="Normal 5 41 6" xfId="3879"/>
    <cellStyle name="Normal 5 41 6 2" xfId="3880"/>
    <cellStyle name="Normal 5 41 6 2 2" xfId="3881"/>
    <cellStyle name="Normal 5 41 6 2 3" xfId="3882"/>
    <cellStyle name="Normal 5 41 6 2 4" xfId="3883"/>
    <cellStyle name="Normal 5 41 6 2 5" xfId="3884"/>
    <cellStyle name="Normal 5 41 6 3" xfId="3885"/>
    <cellStyle name="Normal 5 41 6 3 2" xfId="3886"/>
    <cellStyle name="Normal 5 41 6 3 3" xfId="3887"/>
    <cellStyle name="Normal 5 41 6 3 4" xfId="3888"/>
    <cellStyle name="Normal 5 41 6 3 5" xfId="3889"/>
    <cellStyle name="Normal 5 41 6 4" xfId="3890"/>
    <cellStyle name="Normal 5 41 6 4 2" xfId="3891"/>
    <cellStyle name="Normal 5 41 6 4 3" xfId="3892"/>
    <cellStyle name="Normal 5 41 6 4 4" xfId="3893"/>
    <cellStyle name="Normal 5 41 6 4 5" xfId="3894"/>
    <cellStyle name="Normal 5 41 6 5" xfId="3895"/>
    <cellStyle name="Normal 5 41 6 6" xfId="3896"/>
    <cellStyle name="Normal 5 41 6 7" xfId="3897"/>
    <cellStyle name="Normal 5 41 6 8" xfId="3898"/>
    <cellStyle name="Normal 5 41 7" xfId="3899"/>
    <cellStyle name="Normal 5 41 7 2" xfId="3900"/>
    <cellStyle name="Normal 5 41 7 2 2" xfId="3901"/>
    <cellStyle name="Normal 5 41 7 2 3" xfId="3902"/>
    <cellStyle name="Normal 5 41 7 2 4" xfId="3903"/>
    <cellStyle name="Normal 5 41 7 2 5" xfId="3904"/>
    <cellStyle name="Normal 5 41 7 3" xfId="3905"/>
    <cellStyle name="Normal 5 41 7 3 2" xfId="3906"/>
    <cellStyle name="Normal 5 41 7 3 3" xfId="3907"/>
    <cellStyle name="Normal 5 41 7 3 4" xfId="3908"/>
    <cellStyle name="Normal 5 41 7 3 5" xfId="3909"/>
    <cellStyle name="Normal 5 41 7 4" xfId="3910"/>
    <cellStyle name="Normal 5 41 7 4 2" xfId="3911"/>
    <cellStyle name="Normal 5 41 7 4 3" xfId="3912"/>
    <cellStyle name="Normal 5 41 7 4 4" xfId="3913"/>
    <cellStyle name="Normal 5 41 7 4 5" xfId="3914"/>
    <cellStyle name="Normal 5 41 7 5" xfId="3915"/>
    <cellStyle name="Normal 5 41 7 6" xfId="3916"/>
    <cellStyle name="Normal 5 41 7 7" xfId="3917"/>
    <cellStyle name="Normal 5 41 7 8" xfId="3918"/>
    <cellStyle name="Normal 5 41 8" xfId="3919"/>
    <cellStyle name="Normal 5 41 8 2" xfId="3920"/>
    <cellStyle name="Normal 5 41 8 2 2" xfId="3921"/>
    <cellStyle name="Normal 5 41 8 2 3" xfId="3922"/>
    <cellStyle name="Normal 5 41 8 2 4" xfId="3923"/>
    <cellStyle name="Normal 5 41 8 2 5" xfId="3924"/>
    <cellStyle name="Normal 5 41 8 3" xfId="3925"/>
    <cellStyle name="Normal 5 41 8 3 2" xfId="3926"/>
    <cellStyle name="Normal 5 41 8 3 3" xfId="3927"/>
    <cellStyle name="Normal 5 41 8 3 4" xfId="3928"/>
    <cellStyle name="Normal 5 41 8 3 5" xfId="3929"/>
    <cellStyle name="Normal 5 41 8 4" xfId="3930"/>
    <cellStyle name="Normal 5 41 8 4 2" xfId="3931"/>
    <cellStyle name="Normal 5 41 8 4 3" xfId="3932"/>
    <cellStyle name="Normal 5 41 8 4 4" xfId="3933"/>
    <cellStyle name="Normal 5 41 8 4 5" xfId="3934"/>
    <cellStyle name="Normal 5 41 8 5" xfId="3935"/>
    <cellStyle name="Normal 5 41 8 6" xfId="3936"/>
    <cellStyle name="Normal 5 41 8 7" xfId="3937"/>
    <cellStyle name="Normal 5 41 8 8" xfId="3938"/>
    <cellStyle name="Normal 5 41 9" xfId="3939"/>
    <cellStyle name="Normal 5 41 9 2" xfId="3940"/>
    <cellStyle name="Normal 5 41 9 2 2" xfId="3941"/>
    <cellStyle name="Normal 5 41 9 2 3" xfId="3942"/>
    <cellStyle name="Normal 5 41 9 2 4" xfId="3943"/>
    <cellStyle name="Normal 5 41 9 2 5" xfId="3944"/>
    <cellStyle name="Normal 5 41 9 3" xfId="3945"/>
    <cellStyle name="Normal 5 41 9 3 2" xfId="3946"/>
    <cellStyle name="Normal 5 41 9 3 3" xfId="3947"/>
    <cellStyle name="Normal 5 41 9 3 4" xfId="3948"/>
    <cellStyle name="Normal 5 41 9 3 5" xfId="3949"/>
    <cellStyle name="Normal 5 41 9 4" xfId="3950"/>
    <cellStyle name="Normal 5 41 9 4 2" xfId="3951"/>
    <cellStyle name="Normal 5 41 9 4 3" xfId="3952"/>
    <cellStyle name="Normal 5 41 9 4 4" xfId="3953"/>
    <cellStyle name="Normal 5 41 9 4 5" xfId="3954"/>
    <cellStyle name="Normal 5 41 9 5" xfId="3955"/>
    <cellStyle name="Normal 5 41 9 6" xfId="3956"/>
    <cellStyle name="Normal 5 41 9 7" xfId="3957"/>
    <cellStyle name="Normal 5 41 9 8" xfId="3958"/>
    <cellStyle name="Normal 5 42" xfId="3959"/>
    <cellStyle name="Normal 5 42 10" xfId="3960"/>
    <cellStyle name="Normal 5 42 10 2" xfId="3961"/>
    <cellStyle name="Normal 5 42 10 2 2" xfId="3962"/>
    <cellStyle name="Normal 5 42 10 2 3" xfId="3963"/>
    <cellStyle name="Normal 5 42 10 2 4" xfId="3964"/>
    <cellStyle name="Normal 5 42 10 2 5" xfId="3965"/>
    <cellStyle name="Normal 5 42 10 3" xfId="3966"/>
    <cellStyle name="Normal 5 42 10 3 2" xfId="3967"/>
    <cellStyle name="Normal 5 42 10 3 3" xfId="3968"/>
    <cellStyle name="Normal 5 42 10 3 4" xfId="3969"/>
    <cellStyle name="Normal 5 42 10 3 5" xfId="3970"/>
    <cellStyle name="Normal 5 42 10 4" xfId="3971"/>
    <cellStyle name="Normal 5 42 10 4 2" xfId="3972"/>
    <cellStyle name="Normal 5 42 10 4 3" xfId="3973"/>
    <cellStyle name="Normal 5 42 10 4 4" xfId="3974"/>
    <cellStyle name="Normal 5 42 10 4 5" xfId="3975"/>
    <cellStyle name="Normal 5 42 10 5" xfId="3976"/>
    <cellStyle name="Normal 5 42 10 6" xfId="3977"/>
    <cellStyle name="Normal 5 42 10 7" xfId="3978"/>
    <cellStyle name="Normal 5 42 10 8" xfId="3979"/>
    <cellStyle name="Normal 5 42 11" xfId="3980"/>
    <cellStyle name="Normal 5 42 11 2" xfId="3981"/>
    <cellStyle name="Normal 5 42 11 2 2" xfId="3982"/>
    <cellStyle name="Normal 5 42 11 2 3" xfId="3983"/>
    <cellStyle name="Normal 5 42 11 2 4" xfId="3984"/>
    <cellStyle name="Normal 5 42 11 2 5" xfId="3985"/>
    <cellStyle name="Normal 5 42 11 3" xfId="3986"/>
    <cellStyle name="Normal 5 42 11 3 2" xfId="3987"/>
    <cellStyle name="Normal 5 42 11 3 3" xfId="3988"/>
    <cellStyle name="Normal 5 42 11 3 4" xfId="3989"/>
    <cellStyle name="Normal 5 42 11 3 5" xfId="3990"/>
    <cellStyle name="Normal 5 42 11 4" xfId="3991"/>
    <cellStyle name="Normal 5 42 11 4 2" xfId="3992"/>
    <cellStyle name="Normal 5 42 11 4 3" xfId="3993"/>
    <cellStyle name="Normal 5 42 11 4 4" xfId="3994"/>
    <cellStyle name="Normal 5 42 11 4 5" xfId="3995"/>
    <cellStyle name="Normal 5 42 11 5" xfId="3996"/>
    <cellStyle name="Normal 5 42 11 6" xfId="3997"/>
    <cellStyle name="Normal 5 42 11 7" xfId="3998"/>
    <cellStyle name="Normal 5 42 11 8" xfId="3999"/>
    <cellStyle name="Normal 5 42 12" xfId="4000"/>
    <cellStyle name="Normal 5 42 12 2" xfId="4001"/>
    <cellStyle name="Normal 5 42 12 3" xfId="4002"/>
    <cellStyle name="Normal 5 42 12 4" xfId="4003"/>
    <cellStyle name="Normal 5 42 12 5" xfId="4004"/>
    <cellStyle name="Normal 5 42 13" xfId="4005"/>
    <cellStyle name="Normal 5 42 13 2" xfId="4006"/>
    <cellStyle name="Normal 5 42 13 3" xfId="4007"/>
    <cellStyle name="Normal 5 42 13 4" xfId="4008"/>
    <cellStyle name="Normal 5 42 13 5" xfId="4009"/>
    <cellStyle name="Normal 5 42 14" xfId="4010"/>
    <cellStyle name="Normal 5 42 14 2" xfId="4011"/>
    <cellStyle name="Normal 5 42 14 3" xfId="4012"/>
    <cellStyle name="Normal 5 42 14 4" xfId="4013"/>
    <cellStyle name="Normal 5 42 14 5" xfId="4014"/>
    <cellStyle name="Normal 5 42 15" xfId="4015"/>
    <cellStyle name="Normal 5 42 16" xfId="4016"/>
    <cellStyle name="Normal 5 42 17" xfId="4017"/>
    <cellStyle name="Normal 5 42 18" xfId="4018"/>
    <cellStyle name="Normal 5 42 2" xfId="4019"/>
    <cellStyle name="Normal 5 42 2 2" xfId="4020"/>
    <cellStyle name="Normal 5 42 2 2 2" xfId="4021"/>
    <cellStyle name="Normal 5 42 2 2 3" xfId="4022"/>
    <cellStyle name="Normal 5 42 2 2 4" xfId="4023"/>
    <cellStyle name="Normal 5 42 2 2 5" xfId="4024"/>
    <cellStyle name="Normal 5 42 2 3" xfId="4025"/>
    <cellStyle name="Normal 5 42 2 3 2" xfId="4026"/>
    <cellStyle name="Normal 5 42 2 3 3" xfId="4027"/>
    <cellStyle name="Normal 5 42 2 3 4" xfId="4028"/>
    <cellStyle name="Normal 5 42 2 3 5" xfId="4029"/>
    <cellStyle name="Normal 5 42 2 4" xfId="4030"/>
    <cellStyle name="Normal 5 42 2 4 2" xfId="4031"/>
    <cellStyle name="Normal 5 42 2 4 3" xfId="4032"/>
    <cellStyle name="Normal 5 42 2 4 4" xfId="4033"/>
    <cellStyle name="Normal 5 42 2 4 5" xfId="4034"/>
    <cellStyle name="Normal 5 42 2 5" xfId="4035"/>
    <cellStyle name="Normal 5 42 2 6" xfId="4036"/>
    <cellStyle name="Normal 5 42 2 7" xfId="4037"/>
    <cellStyle name="Normal 5 42 2 8" xfId="4038"/>
    <cellStyle name="Normal 5 42 3" xfId="4039"/>
    <cellStyle name="Normal 5 42 3 2" xfId="4040"/>
    <cellStyle name="Normal 5 42 3 2 2" xfId="4041"/>
    <cellStyle name="Normal 5 42 3 2 3" xfId="4042"/>
    <cellStyle name="Normal 5 42 3 2 4" xfId="4043"/>
    <cellStyle name="Normal 5 42 3 2 5" xfId="4044"/>
    <cellStyle name="Normal 5 42 3 3" xfId="4045"/>
    <cellStyle name="Normal 5 42 3 3 2" xfId="4046"/>
    <cellStyle name="Normal 5 42 3 3 3" xfId="4047"/>
    <cellStyle name="Normal 5 42 3 3 4" xfId="4048"/>
    <cellStyle name="Normal 5 42 3 3 5" xfId="4049"/>
    <cellStyle name="Normal 5 42 3 4" xfId="4050"/>
    <cellStyle name="Normal 5 42 3 4 2" xfId="4051"/>
    <cellStyle name="Normal 5 42 3 4 3" xfId="4052"/>
    <cellStyle name="Normal 5 42 3 4 4" xfId="4053"/>
    <cellStyle name="Normal 5 42 3 4 5" xfId="4054"/>
    <cellStyle name="Normal 5 42 3 5" xfId="4055"/>
    <cellStyle name="Normal 5 42 3 6" xfId="4056"/>
    <cellStyle name="Normal 5 42 3 7" xfId="4057"/>
    <cellStyle name="Normal 5 42 3 8" xfId="4058"/>
    <cellStyle name="Normal 5 42 4" xfId="4059"/>
    <cellStyle name="Normal 5 42 4 2" xfId="4060"/>
    <cellStyle name="Normal 5 42 4 2 2" xfId="4061"/>
    <cellStyle name="Normal 5 42 4 2 3" xfId="4062"/>
    <cellStyle name="Normal 5 42 4 2 4" xfId="4063"/>
    <cellStyle name="Normal 5 42 4 2 5" xfId="4064"/>
    <cellStyle name="Normal 5 42 4 3" xfId="4065"/>
    <cellStyle name="Normal 5 42 4 3 2" xfId="4066"/>
    <cellStyle name="Normal 5 42 4 3 3" xfId="4067"/>
    <cellStyle name="Normal 5 42 4 3 4" xfId="4068"/>
    <cellStyle name="Normal 5 42 4 3 5" xfId="4069"/>
    <cellStyle name="Normal 5 42 4 4" xfId="4070"/>
    <cellStyle name="Normal 5 42 4 4 2" xfId="4071"/>
    <cellStyle name="Normal 5 42 4 4 3" xfId="4072"/>
    <cellStyle name="Normal 5 42 4 4 4" xfId="4073"/>
    <cellStyle name="Normal 5 42 4 4 5" xfId="4074"/>
    <cellStyle name="Normal 5 42 4 5" xfId="4075"/>
    <cellStyle name="Normal 5 42 4 6" xfId="4076"/>
    <cellStyle name="Normal 5 42 4 7" xfId="4077"/>
    <cellStyle name="Normal 5 42 4 8" xfId="4078"/>
    <cellStyle name="Normal 5 42 5" xfId="4079"/>
    <cellStyle name="Normal 5 42 5 2" xfId="4080"/>
    <cellStyle name="Normal 5 42 5 2 2" xfId="4081"/>
    <cellStyle name="Normal 5 42 5 2 3" xfId="4082"/>
    <cellStyle name="Normal 5 42 5 2 4" xfId="4083"/>
    <cellStyle name="Normal 5 42 5 2 5" xfId="4084"/>
    <cellStyle name="Normal 5 42 5 3" xfId="4085"/>
    <cellStyle name="Normal 5 42 5 3 2" xfId="4086"/>
    <cellStyle name="Normal 5 42 5 3 3" xfId="4087"/>
    <cellStyle name="Normal 5 42 5 3 4" xfId="4088"/>
    <cellStyle name="Normal 5 42 5 3 5" xfId="4089"/>
    <cellStyle name="Normal 5 42 5 4" xfId="4090"/>
    <cellStyle name="Normal 5 42 5 4 2" xfId="4091"/>
    <cellStyle name="Normal 5 42 5 4 3" xfId="4092"/>
    <cellStyle name="Normal 5 42 5 4 4" xfId="4093"/>
    <cellStyle name="Normal 5 42 5 4 5" xfId="4094"/>
    <cellStyle name="Normal 5 42 5 5" xfId="4095"/>
    <cellStyle name="Normal 5 42 5 6" xfId="4096"/>
    <cellStyle name="Normal 5 42 5 7" xfId="4097"/>
    <cellStyle name="Normal 5 42 5 8" xfId="4098"/>
    <cellStyle name="Normal 5 42 6" xfId="4099"/>
    <cellStyle name="Normal 5 42 6 2" xfId="4100"/>
    <cellStyle name="Normal 5 42 6 2 2" xfId="4101"/>
    <cellStyle name="Normal 5 42 6 2 3" xfId="4102"/>
    <cellStyle name="Normal 5 42 6 2 4" xfId="4103"/>
    <cellStyle name="Normal 5 42 6 2 5" xfId="4104"/>
    <cellStyle name="Normal 5 42 6 3" xfId="4105"/>
    <cellStyle name="Normal 5 42 6 3 2" xfId="4106"/>
    <cellStyle name="Normal 5 42 6 3 3" xfId="4107"/>
    <cellStyle name="Normal 5 42 6 3 4" xfId="4108"/>
    <cellStyle name="Normal 5 42 6 3 5" xfId="4109"/>
    <cellStyle name="Normal 5 42 6 4" xfId="4110"/>
    <cellStyle name="Normal 5 42 6 4 2" xfId="4111"/>
    <cellStyle name="Normal 5 42 6 4 3" xfId="4112"/>
    <cellStyle name="Normal 5 42 6 4 4" xfId="4113"/>
    <cellStyle name="Normal 5 42 6 4 5" xfId="4114"/>
    <cellStyle name="Normal 5 42 6 5" xfId="4115"/>
    <cellStyle name="Normal 5 42 6 6" xfId="4116"/>
    <cellStyle name="Normal 5 42 6 7" xfId="4117"/>
    <cellStyle name="Normal 5 42 6 8" xfId="4118"/>
    <cellStyle name="Normal 5 42 7" xfId="4119"/>
    <cellStyle name="Normal 5 42 7 2" xfId="4120"/>
    <cellStyle name="Normal 5 42 7 2 2" xfId="4121"/>
    <cellStyle name="Normal 5 42 7 2 3" xfId="4122"/>
    <cellStyle name="Normal 5 42 7 2 4" xfId="4123"/>
    <cellStyle name="Normal 5 42 7 2 5" xfId="4124"/>
    <cellStyle name="Normal 5 42 7 3" xfId="4125"/>
    <cellStyle name="Normal 5 42 7 3 2" xfId="4126"/>
    <cellStyle name="Normal 5 42 7 3 3" xfId="4127"/>
    <cellStyle name="Normal 5 42 7 3 4" xfId="4128"/>
    <cellStyle name="Normal 5 42 7 3 5" xfId="4129"/>
    <cellStyle name="Normal 5 42 7 4" xfId="4130"/>
    <cellStyle name="Normal 5 42 7 4 2" xfId="4131"/>
    <cellStyle name="Normal 5 42 7 4 3" xfId="4132"/>
    <cellStyle name="Normal 5 42 7 4 4" xfId="4133"/>
    <cellStyle name="Normal 5 42 7 4 5" xfId="4134"/>
    <cellStyle name="Normal 5 42 7 5" xfId="4135"/>
    <cellStyle name="Normal 5 42 7 6" xfId="4136"/>
    <cellStyle name="Normal 5 42 7 7" xfId="4137"/>
    <cellStyle name="Normal 5 42 7 8" xfId="4138"/>
    <cellStyle name="Normal 5 42 8" xfId="4139"/>
    <cellStyle name="Normal 5 42 8 2" xfId="4140"/>
    <cellStyle name="Normal 5 42 8 2 2" xfId="4141"/>
    <cellStyle name="Normal 5 42 8 2 3" xfId="4142"/>
    <cellStyle name="Normal 5 42 8 2 4" xfId="4143"/>
    <cellStyle name="Normal 5 42 8 2 5" xfId="4144"/>
    <cellStyle name="Normal 5 42 8 3" xfId="4145"/>
    <cellStyle name="Normal 5 42 8 3 2" xfId="4146"/>
    <cellStyle name="Normal 5 42 8 3 3" xfId="4147"/>
    <cellStyle name="Normal 5 42 8 3 4" xfId="4148"/>
    <cellStyle name="Normal 5 42 8 3 5" xfId="4149"/>
    <cellStyle name="Normal 5 42 8 4" xfId="4150"/>
    <cellStyle name="Normal 5 42 8 4 2" xfId="4151"/>
    <cellStyle name="Normal 5 42 8 4 3" xfId="4152"/>
    <cellStyle name="Normal 5 42 8 4 4" xfId="4153"/>
    <cellStyle name="Normal 5 42 8 4 5" xfId="4154"/>
    <cellStyle name="Normal 5 42 8 5" xfId="4155"/>
    <cellStyle name="Normal 5 42 8 6" xfId="4156"/>
    <cellStyle name="Normal 5 42 8 7" xfId="4157"/>
    <cellStyle name="Normal 5 42 8 8" xfId="4158"/>
    <cellStyle name="Normal 5 42 9" xfId="4159"/>
    <cellStyle name="Normal 5 42 9 2" xfId="4160"/>
    <cellStyle name="Normal 5 42 9 2 2" xfId="4161"/>
    <cellStyle name="Normal 5 42 9 2 3" xfId="4162"/>
    <cellStyle name="Normal 5 42 9 2 4" xfId="4163"/>
    <cellStyle name="Normal 5 42 9 2 5" xfId="4164"/>
    <cellStyle name="Normal 5 42 9 3" xfId="4165"/>
    <cellStyle name="Normal 5 42 9 3 2" xfId="4166"/>
    <cellStyle name="Normal 5 42 9 3 3" xfId="4167"/>
    <cellStyle name="Normal 5 42 9 3 4" xfId="4168"/>
    <cellStyle name="Normal 5 42 9 3 5" xfId="4169"/>
    <cellStyle name="Normal 5 42 9 4" xfId="4170"/>
    <cellStyle name="Normal 5 42 9 4 2" xfId="4171"/>
    <cellStyle name="Normal 5 42 9 4 3" xfId="4172"/>
    <cellStyle name="Normal 5 42 9 4 4" xfId="4173"/>
    <cellStyle name="Normal 5 42 9 4 5" xfId="4174"/>
    <cellStyle name="Normal 5 42 9 5" xfId="4175"/>
    <cellStyle name="Normal 5 42 9 6" xfId="4176"/>
    <cellStyle name="Normal 5 42 9 7" xfId="4177"/>
    <cellStyle name="Normal 5 42 9 8" xfId="4178"/>
    <cellStyle name="Normal 5 43" xfId="4179"/>
    <cellStyle name="Normal 5 43 10" xfId="4180"/>
    <cellStyle name="Normal 5 43 10 2" xfId="4181"/>
    <cellStyle name="Normal 5 43 10 2 2" xfId="4182"/>
    <cellStyle name="Normal 5 43 10 2 3" xfId="4183"/>
    <cellStyle name="Normal 5 43 10 2 4" xfId="4184"/>
    <cellStyle name="Normal 5 43 10 2 5" xfId="4185"/>
    <cellStyle name="Normal 5 43 10 3" xfId="4186"/>
    <cellStyle name="Normal 5 43 10 3 2" xfId="4187"/>
    <cellStyle name="Normal 5 43 10 3 3" xfId="4188"/>
    <cellStyle name="Normal 5 43 10 3 4" xfId="4189"/>
    <cellStyle name="Normal 5 43 10 3 5" xfId="4190"/>
    <cellStyle name="Normal 5 43 10 4" xfId="4191"/>
    <cellStyle name="Normal 5 43 10 4 2" xfId="4192"/>
    <cellStyle name="Normal 5 43 10 4 3" xfId="4193"/>
    <cellStyle name="Normal 5 43 10 4 4" xfId="4194"/>
    <cellStyle name="Normal 5 43 10 4 5" xfId="4195"/>
    <cellStyle name="Normal 5 43 10 5" xfId="4196"/>
    <cellStyle name="Normal 5 43 10 6" xfId="4197"/>
    <cellStyle name="Normal 5 43 10 7" xfId="4198"/>
    <cellStyle name="Normal 5 43 10 8" xfId="4199"/>
    <cellStyle name="Normal 5 43 11" xfId="4200"/>
    <cellStyle name="Normal 5 43 11 2" xfId="4201"/>
    <cellStyle name="Normal 5 43 11 2 2" xfId="4202"/>
    <cellStyle name="Normal 5 43 11 2 3" xfId="4203"/>
    <cellStyle name="Normal 5 43 11 2 4" xfId="4204"/>
    <cellStyle name="Normal 5 43 11 2 5" xfId="4205"/>
    <cellStyle name="Normal 5 43 11 3" xfId="4206"/>
    <cellStyle name="Normal 5 43 11 3 2" xfId="4207"/>
    <cellStyle name="Normal 5 43 11 3 3" xfId="4208"/>
    <cellStyle name="Normal 5 43 11 3 4" xfId="4209"/>
    <cellStyle name="Normal 5 43 11 3 5" xfId="4210"/>
    <cellStyle name="Normal 5 43 11 4" xfId="4211"/>
    <cellStyle name="Normal 5 43 11 4 2" xfId="4212"/>
    <cellStyle name="Normal 5 43 11 4 3" xfId="4213"/>
    <cellStyle name="Normal 5 43 11 4 4" xfId="4214"/>
    <cellStyle name="Normal 5 43 11 4 5" xfId="4215"/>
    <cellStyle name="Normal 5 43 11 5" xfId="4216"/>
    <cellStyle name="Normal 5 43 11 6" xfId="4217"/>
    <cellStyle name="Normal 5 43 11 7" xfId="4218"/>
    <cellStyle name="Normal 5 43 11 8" xfId="4219"/>
    <cellStyle name="Normal 5 43 12" xfId="4220"/>
    <cellStyle name="Normal 5 43 12 2" xfId="4221"/>
    <cellStyle name="Normal 5 43 12 3" xfId="4222"/>
    <cellStyle name="Normal 5 43 12 4" xfId="4223"/>
    <cellStyle name="Normal 5 43 12 5" xfId="4224"/>
    <cellStyle name="Normal 5 43 13" xfId="4225"/>
    <cellStyle name="Normal 5 43 13 2" xfId="4226"/>
    <cellStyle name="Normal 5 43 13 3" xfId="4227"/>
    <cellStyle name="Normal 5 43 13 4" xfId="4228"/>
    <cellStyle name="Normal 5 43 13 5" xfId="4229"/>
    <cellStyle name="Normal 5 43 14" xfId="4230"/>
    <cellStyle name="Normal 5 43 14 2" xfId="4231"/>
    <cellStyle name="Normal 5 43 14 3" xfId="4232"/>
    <cellStyle name="Normal 5 43 14 4" xfId="4233"/>
    <cellStyle name="Normal 5 43 14 5" xfId="4234"/>
    <cellStyle name="Normal 5 43 15" xfId="4235"/>
    <cellStyle name="Normal 5 43 16" xfId="4236"/>
    <cellStyle name="Normal 5 43 17" xfId="4237"/>
    <cellStyle name="Normal 5 43 18" xfId="4238"/>
    <cellStyle name="Normal 5 43 2" xfId="4239"/>
    <cellStyle name="Normal 5 43 2 2" xfId="4240"/>
    <cellStyle name="Normal 5 43 2 2 2" xfId="4241"/>
    <cellStyle name="Normal 5 43 2 2 3" xfId="4242"/>
    <cellStyle name="Normal 5 43 2 2 4" xfId="4243"/>
    <cellStyle name="Normal 5 43 2 2 5" xfId="4244"/>
    <cellStyle name="Normal 5 43 2 3" xfId="4245"/>
    <cellStyle name="Normal 5 43 2 3 2" xfId="4246"/>
    <cellStyle name="Normal 5 43 2 3 3" xfId="4247"/>
    <cellStyle name="Normal 5 43 2 3 4" xfId="4248"/>
    <cellStyle name="Normal 5 43 2 3 5" xfId="4249"/>
    <cellStyle name="Normal 5 43 2 4" xfId="4250"/>
    <cellStyle name="Normal 5 43 2 4 2" xfId="4251"/>
    <cellStyle name="Normal 5 43 2 4 3" xfId="4252"/>
    <cellStyle name="Normal 5 43 2 4 4" xfId="4253"/>
    <cellStyle name="Normal 5 43 2 4 5" xfId="4254"/>
    <cellStyle name="Normal 5 43 2 5" xfId="4255"/>
    <cellStyle name="Normal 5 43 2 6" xfId="4256"/>
    <cellStyle name="Normal 5 43 2 7" xfId="4257"/>
    <cellStyle name="Normal 5 43 2 8" xfId="4258"/>
    <cellStyle name="Normal 5 43 3" xfId="4259"/>
    <cellStyle name="Normal 5 43 3 2" xfId="4260"/>
    <cellStyle name="Normal 5 43 3 2 2" xfId="4261"/>
    <cellStyle name="Normal 5 43 3 2 3" xfId="4262"/>
    <cellStyle name="Normal 5 43 3 2 4" xfId="4263"/>
    <cellStyle name="Normal 5 43 3 2 5" xfId="4264"/>
    <cellStyle name="Normal 5 43 3 3" xfId="4265"/>
    <cellStyle name="Normal 5 43 3 3 2" xfId="4266"/>
    <cellStyle name="Normal 5 43 3 3 3" xfId="4267"/>
    <cellStyle name="Normal 5 43 3 3 4" xfId="4268"/>
    <cellStyle name="Normal 5 43 3 3 5" xfId="4269"/>
    <cellStyle name="Normal 5 43 3 4" xfId="4270"/>
    <cellStyle name="Normal 5 43 3 4 2" xfId="4271"/>
    <cellStyle name="Normal 5 43 3 4 3" xfId="4272"/>
    <cellStyle name="Normal 5 43 3 4 4" xfId="4273"/>
    <cellStyle name="Normal 5 43 3 4 5" xfId="4274"/>
    <cellStyle name="Normal 5 43 3 5" xfId="4275"/>
    <cellStyle name="Normal 5 43 3 6" xfId="4276"/>
    <cellStyle name="Normal 5 43 3 7" xfId="4277"/>
    <cellStyle name="Normal 5 43 3 8" xfId="4278"/>
    <cellStyle name="Normal 5 43 4" xfId="4279"/>
    <cellStyle name="Normal 5 43 4 2" xfId="4280"/>
    <cellStyle name="Normal 5 43 4 2 2" xfId="4281"/>
    <cellStyle name="Normal 5 43 4 2 3" xfId="4282"/>
    <cellStyle name="Normal 5 43 4 2 4" xfId="4283"/>
    <cellStyle name="Normal 5 43 4 2 5" xfId="4284"/>
    <cellStyle name="Normal 5 43 4 3" xfId="4285"/>
    <cellStyle name="Normal 5 43 4 3 2" xfId="4286"/>
    <cellStyle name="Normal 5 43 4 3 3" xfId="4287"/>
    <cellStyle name="Normal 5 43 4 3 4" xfId="4288"/>
    <cellStyle name="Normal 5 43 4 3 5" xfId="4289"/>
    <cellStyle name="Normal 5 43 4 4" xfId="4290"/>
    <cellStyle name="Normal 5 43 4 4 2" xfId="4291"/>
    <cellStyle name="Normal 5 43 4 4 3" xfId="4292"/>
    <cellStyle name="Normal 5 43 4 4 4" xfId="4293"/>
    <cellStyle name="Normal 5 43 4 4 5" xfId="4294"/>
    <cellStyle name="Normal 5 43 4 5" xfId="4295"/>
    <cellStyle name="Normal 5 43 4 6" xfId="4296"/>
    <cellStyle name="Normal 5 43 4 7" xfId="4297"/>
    <cellStyle name="Normal 5 43 4 8" xfId="4298"/>
    <cellStyle name="Normal 5 43 5" xfId="4299"/>
    <cellStyle name="Normal 5 43 5 2" xfId="4300"/>
    <cellStyle name="Normal 5 43 5 2 2" xfId="4301"/>
    <cellStyle name="Normal 5 43 5 2 3" xfId="4302"/>
    <cellStyle name="Normal 5 43 5 2 4" xfId="4303"/>
    <cellStyle name="Normal 5 43 5 2 5" xfId="4304"/>
    <cellStyle name="Normal 5 43 5 3" xfId="4305"/>
    <cellStyle name="Normal 5 43 5 3 2" xfId="4306"/>
    <cellStyle name="Normal 5 43 5 3 3" xfId="4307"/>
    <cellStyle name="Normal 5 43 5 3 4" xfId="4308"/>
    <cellStyle name="Normal 5 43 5 3 5" xfId="4309"/>
    <cellStyle name="Normal 5 43 5 4" xfId="4310"/>
    <cellStyle name="Normal 5 43 5 4 2" xfId="4311"/>
    <cellStyle name="Normal 5 43 5 4 3" xfId="4312"/>
    <cellStyle name="Normal 5 43 5 4 4" xfId="4313"/>
    <cellStyle name="Normal 5 43 5 4 5" xfId="4314"/>
    <cellStyle name="Normal 5 43 5 5" xfId="4315"/>
    <cellStyle name="Normal 5 43 5 6" xfId="4316"/>
    <cellStyle name="Normal 5 43 5 7" xfId="4317"/>
    <cellStyle name="Normal 5 43 5 8" xfId="4318"/>
    <cellStyle name="Normal 5 43 6" xfId="4319"/>
    <cellStyle name="Normal 5 43 6 2" xfId="4320"/>
    <cellStyle name="Normal 5 43 6 2 2" xfId="4321"/>
    <cellStyle name="Normal 5 43 6 2 3" xfId="4322"/>
    <cellStyle name="Normal 5 43 6 2 4" xfId="4323"/>
    <cellStyle name="Normal 5 43 6 2 5" xfId="4324"/>
    <cellStyle name="Normal 5 43 6 3" xfId="4325"/>
    <cellStyle name="Normal 5 43 6 3 2" xfId="4326"/>
    <cellStyle name="Normal 5 43 6 3 3" xfId="4327"/>
    <cellStyle name="Normal 5 43 6 3 4" xfId="4328"/>
    <cellStyle name="Normal 5 43 6 3 5" xfId="4329"/>
    <cellStyle name="Normal 5 43 6 4" xfId="4330"/>
    <cellStyle name="Normal 5 43 6 4 2" xfId="4331"/>
    <cellStyle name="Normal 5 43 6 4 3" xfId="4332"/>
    <cellStyle name="Normal 5 43 6 4 4" xfId="4333"/>
    <cellStyle name="Normal 5 43 6 4 5" xfId="4334"/>
    <cellStyle name="Normal 5 43 6 5" xfId="4335"/>
    <cellStyle name="Normal 5 43 6 6" xfId="4336"/>
    <cellStyle name="Normal 5 43 6 7" xfId="4337"/>
    <cellStyle name="Normal 5 43 6 8" xfId="4338"/>
    <cellStyle name="Normal 5 43 7" xfId="4339"/>
    <cellStyle name="Normal 5 43 7 2" xfId="4340"/>
    <cellStyle name="Normal 5 43 7 2 2" xfId="4341"/>
    <cellStyle name="Normal 5 43 7 2 3" xfId="4342"/>
    <cellStyle name="Normal 5 43 7 2 4" xfId="4343"/>
    <cellStyle name="Normal 5 43 7 2 5" xfId="4344"/>
    <cellStyle name="Normal 5 43 7 3" xfId="4345"/>
    <cellStyle name="Normal 5 43 7 3 2" xfId="4346"/>
    <cellStyle name="Normal 5 43 7 3 3" xfId="4347"/>
    <cellStyle name="Normal 5 43 7 3 4" xfId="4348"/>
    <cellStyle name="Normal 5 43 7 3 5" xfId="4349"/>
    <cellStyle name="Normal 5 43 7 4" xfId="4350"/>
    <cellStyle name="Normal 5 43 7 4 2" xfId="4351"/>
    <cellStyle name="Normal 5 43 7 4 3" xfId="4352"/>
    <cellStyle name="Normal 5 43 7 4 4" xfId="4353"/>
    <cellStyle name="Normal 5 43 7 4 5" xfId="4354"/>
    <cellStyle name="Normal 5 43 7 5" xfId="4355"/>
    <cellStyle name="Normal 5 43 7 6" xfId="4356"/>
    <cellStyle name="Normal 5 43 7 7" xfId="4357"/>
    <cellStyle name="Normal 5 43 7 8" xfId="4358"/>
    <cellStyle name="Normal 5 43 8" xfId="4359"/>
    <cellStyle name="Normal 5 43 8 2" xfId="4360"/>
    <cellStyle name="Normal 5 43 8 2 2" xfId="4361"/>
    <cellStyle name="Normal 5 43 8 2 3" xfId="4362"/>
    <cellStyle name="Normal 5 43 8 2 4" xfId="4363"/>
    <cellStyle name="Normal 5 43 8 2 5" xfId="4364"/>
    <cellStyle name="Normal 5 43 8 3" xfId="4365"/>
    <cellStyle name="Normal 5 43 8 3 2" xfId="4366"/>
    <cellStyle name="Normal 5 43 8 3 3" xfId="4367"/>
    <cellStyle name="Normal 5 43 8 3 4" xfId="4368"/>
    <cellStyle name="Normal 5 43 8 3 5" xfId="4369"/>
    <cellStyle name="Normal 5 43 8 4" xfId="4370"/>
    <cellStyle name="Normal 5 43 8 4 2" xfId="4371"/>
    <cellStyle name="Normal 5 43 8 4 3" xfId="4372"/>
    <cellStyle name="Normal 5 43 8 4 4" xfId="4373"/>
    <cellStyle name="Normal 5 43 8 4 5" xfId="4374"/>
    <cellStyle name="Normal 5 43 8 5" xfId="4375"/>
    <cellStyle name="Normal 5 43 8 6" xfId="4376"/>
    <cellStyle name="Normal 5 43 8 7" xfId="4377"/>
    <cellStyle name="Normal 5 43 8 8" xfId="4378"/>
    <cellStyle name="Normal 5 43 9" xfId="4379"/>
    <cellStyle name="Normal 5 43 9 2" xfId="4380"/>
    <cellStyle name="Normal 5 43 9 2 2" xfId="4381"/>
    <cellStyle name="Normal 5 43 9 2 3" xfId="4382"/>
    <cellStyle name="Normal 5 43 9 2 4" xfId="4383"/>
    <cellStyle name="Normal 5 43 9 2 5" xfId="4384"/>
    <cellStyle name="Normal 5 43 9 3" xfId="4385"/>
    <cellStyle name="Normal 5 43 9 3 2" xfId="4386"/>
    <cellStyle name="Normal 5 43 9 3 3" xfId="4387"/>
    <cellStyle name="Normal 5 43 9 3 4" xfId="4388"/>
    <cellStyle name="Normal 5 43 9 3 5" xfId="4389"/>
    <cellStyle name="Normal 5 43 9 4" xfId="4390"/>
    <cellStyle name="Normal 5 43 9 4 2" xfId="4391"/>
    <cellStyle name="Normal 5 43 9 4 3" xfId="4392"/>
    <cellStyle name="Normal 5 43 9 4 4" xfId="4393"/>
    <cellStyle name="Normal 5 43 9 4 5" xfId="4394"/>
    <cellStyle name="Normal 5 43 9 5" xfId="4395"/>
    <cellStyle name="Normal 5 43 9 6" xfId="4396"/>
    <cellStyle name="Normal 5 43 9 7" xfId="4397"/>
    <cellStyle name="Normal 5 43 9 8" xfId="4398"/>
    <cellStyle name="Normal 5 44" xfId="4399"/>
    <cellStyle name="Normal 5 44 10" xfId="4400"/>
    <cellStyle name="Normal 5 44 10 2" xfId="4401"/>
    <cellStyle name="Normal 5 44 10 2 2" xfId="4402"/>
    <cellStyle name="Normal 5 44 10 2 3" xfId="4403"/>
    <cellStyle name="Normal 5 44 10 2 4" xfId="4404"/>
    <cellStyle name="Normal 5 44 10 2 5" xfId="4405"/>
    <cellStyle name="Normal 5 44 10 3" xfId="4406"/>
    <cellStyle name="Normal 5 44 10 3 2" xfId="4407"/>
    <cellStyle name="Normal 5 44 10 3 3" xfId="4408"/>
    <cellStyle name="Normal 5 44 10 3 4" xfId="4409"/>
    <cellStyle name="Normal 5 44 10 3 5" xfId="4410"/>
    <cellStyle name="Normal 5 44 10 4" xfId="4411"/>
    <cellStyle name="Normal 5 44 10 4 2" xfId="4412"/>
    <cellStyle name="Normal 5 44 10 4 3" xfId="4413"/>
    <cellStyle name="Normal 5 44 10 4 4" xfId="4414"/>
    <cellStyle name="Normal 5 44 10 4 5" xfId="4415"/>
    <cellStyle name="Normal 5 44 10 5" xfId="4416"/>
    <cellStyle name="Normal 5 44 10 6" xfId="4417"/>
    <cellStyle name="Normal 5 44 10 7" xfId="4418"/>
    <cellStyle name="Normal 5 44 10 8" xfId="4419"/>
    <cellStyle name="Normal 5 44 11" xfId="4420"/>
    <cellStyle name="Normal 5 44 11 2" xfId="4421"/>
    <cellStyle name="Normal 5 44 11 2 2" xfId="4422"/>
    <cellStyle name="Normal 5 44 11 2 3" xfId="4423"/>
    <cellStyle name="Normal 5 44 11 2 4" xfId="4424"/>
    <cellStyle name="Normal 5 44 11 2 5" xfId="4425"/>
    <cellStyle name="Normal 5 44 11 3" xfId="4426"/>
    <cellStyle name="Normal 5 44 11 3 2" xfId="4427"/>
    <cellStyle name="Normal 5 44 11 3 3" xfId="4428"/>
    <cellStyle name="Normal 5 44 11 3 4" xfId="4429"/>
    <cellStyle name="Normal 5 44 11 3 5" xfId="4430"/>
    <cellStyle name="Normal 5 44 11 4" xfId="4431"/>
    <cellStyle name="Normal 5 44 11 4 2" xfId="4432"/>
    <cellStyle name="Normal 5 44 11 4 3" xfId="4433"/>
    <cellStyle name="Normal 5 44 11 4 4" xfId="4434"/>
    <cellStyle name="Normal 5 44 11 4 5" xfId="4435"/>
    <cellStyle name="Normal 5 44 11 5" xfId="4436"/>
    <cellStyle name="Normal 5 44 11 6" xfId="4437"/>
    <cellStyle name="Normal 5 44 11 7" xfId="4438"/>
    <cellStyle name="Normal 5 44 11 8" xfId="4439"/>
    <cellStyle name="Normal 5 44 12" xfId="4440"/>
    <cellStyle name="Normal 5 44 12 2" xfId="4441"/>
    <cellStyle name="Normal 5 44 12 3" xfId="4442"/>
    <cellStyle name="Normal 5 44 12 4" xfId="4443"/>
    <cellStyle name="Normal 5 44 12 5" xfId="4444"/>
    <cellStyle name="Normal 5 44 13" xfId="4445"/>
    <cellStyle name="Normal 5 44 13 2" xfId="4446"/>
    <cellStyle name="Normal 5 44 13 3" xfId="4447"/>
    <cellStyle name="Normal 5 44 13 4" xfId="4448"/>
    <cellStyle name="Normal 5 44 13 5" xfId="4449"/>
    <cellStyle name="Normal 5 44 14" xfId="4450"/>
    <cellStyle name="Normal 5 44 14 2" xfId="4451"/>
    <cellStyle name="Normal 5 44 14 3" xfId="4452"/>
    <cellStyle name="Normal 5 44 14 4" xfId="4453"/>
    <cellStyle name="Normal 5 44 14 5" xfId="4454"/>
    <cellStyle name="Normal 5 44 15" xfId="4455"/>
    <cellStyle name="Normal 5 44 16" xfId="4456"/>
    <cellStyle name="Normal 5 44 17" xfId="4457"/>
    <cellStyle name="Normal 5 44 18" xfId="4458"/>
    <cellStyle name="Normal 5 44 2" xfId="4459"/>
    <cellStyle name="Normal 5 44 2 2" xfId="4460"/>
    <cellStyle name="Normal 5 44 2 2 2" xfId="4461"/>
    <cellStyle name="Normal 5 44 2 2 3" xfId="4462"/>
    <cellStyle name="Normal 5 44 2 2 4" xfId="4463"/>
    <cellStyle name="Normal 5 44 2 2 5" xfId="4464"/>
    <cellStyle name="Normal 5 44 2 3" xfId="4465"/>
    <cellStyle name="Normal 5 44 2 3 2" xfId="4466"/>
    <cellStyle name="Normal 5 44 2 3 3" xfId="4467"/>
    <cellStyle name="Normal 5 44 2 3 4" xfId="4468"/>
    <cellStyle name="Normal 5 44 2 3 5" xfId="4469"/>
    <cellStyle name="Normal 5 44 2 4" xfId="4470"/>
    <cellStyle name="Normal 5 44 2 4 2" xfId="4471"/>
    <cellStyle name="Normal 5 44 2 4 3" xfId="4472"/>
    <cellStyle name="Normal 5 44 2 4 4" xfId="4473"/>
    <cellStyle name="Normal 5 44 2 4 5" xfId="4474"/>
    <cellStyle name="Normal 5 44 2 5" xfId="4475"/>
    <cellStyle name="Normal 5 44 2 6" xfId="4476"/>
    <cellStyle name="Normal 5 44 2 7" xfId="4477"/>
    <cellStyle name="Normal 5 44 2 8" xfId="4478"/>
    <cellStyle name="Normal 5 44 3" xfId="4479"/>
    <cellStyle name="Normal 5 44 3 2" xfId="4480"/>
    <cellStyle name="Normal 5 44 3 2 2" xfId="4481"/>
    <cellStyle name="Normal 5 44 3 2 3" xfId="4482"/>
    <cellStyle name="Normal 5 44 3 2 4" xfId="4483"/>
    <cellStyle name="Normal 5 44 3 2 5" xfId="4484"/>
    <cellStyle name="Normal 5 44 3 3" xfId="4485"/>
    <cellStyle name="Normal 5 44 3 3 2" xfId="4486"/>
    <cellStyle name="Normal 5 44 3 3 3" xfId="4487"/>
    <cellStyle name="Normal 5 44 3 3 4" xfId="4488"/>
    <cellStyle name="Normal 5 44 3 3 5" xfId="4489"/>
    <cellStyle name="Normal 5 44 3 4" xfId="4490"/>
    <cellStyle name="Normal 5 44 3 4 2" xfId="4491"/>
    <cellStyle name="Normal 5 44 3 4 3" xfId="4492"/>
    <cellStyle name="Normal 5 44 3 4 4" xfId="4493"/>
    <cellStyle name="Normal 5 44 3 4 5" xfId="4494"/>
    <cellStyle name="Normal 5 44 3 5" xfId="4495"/>
    <cellStyle name="Normal 5 44 3 6" xfId="4496"/>
    <cellStyle name="Normal 5 44 3 7" xfId="4497"/>
    <cellStyle name="Normal 5 44 3 8" xfId="4498"/>
    <cellStyle name="Normal 5 44 4" xfId="4499"/>
    <cellStyle name="Normal 5 44 4 2" xfId="4500"/>
    <cellStyle name="Normal 5 44 4 2 2" xfId="4501"/>
    <cellStyle name="Normal 5 44 4 2 3" xfId="4502"/>
    <cellStyle name="Normal 5 44 4 2 4" xfId="4503"/>
    <cellStyle name="Normal 5 44 4 2 5" xfId="4504"/>
    <cellStyle name="Normal 5 44 4 3" xfId="4505"/>
    <cellStyle name="Normal 5 44 4 3 2" xfId="4506"/>
    <cellStyle name="Normal 5 44 4 3 3" xfId="4507"/>
    <cellStyle name="Normal 5 44 4 3 4" xfId="4508"/>
    <cellStyle name="Normal 5 44 4 3 5" xfId="4509"/>
    <cellStyle name="Normal 5 44 4 4" xfId="4510"/>
    <cellStyle name="Normal 5 44 4 4 2" xfId="4511"/>
    <cellStyle name="Normal 5 44 4 4 3" xfId="4512"/>
    <cellStyle name="Normal 5 44 4 4 4" xfId="4513"/>
    <cellStyle name="Normal 5 44 4 4 5" xfId="4514"/>
    <cellStyle name="Normal 5 44 4 5" xfId="4515"/>
    <cellStyle name="Normal 5 44 4 6" xfId="4516"/>
    <cellStyle name="Normal 5 44 4 7" xfId="4517"/>
    <cellStyle name="Normal 5 44 4 8" xfId="4518"/>
    <cellStyle name="Normal 5 44 5" xfId="4519"/>
    <cellStyle name="Normal 5 44 5 2" xfId="4520"/>
    <cellStyle name="Normal 5 44 5 2 2" xfId="4521"/>
    <cellStyle name="Normal 5 44 5 2 3" xfId="4522"/>
    <cellStyle name="Normal 5 44 5 2 4" xfId="4523"/>
    <cellStyle name="Normal 5 44 5 2 5" xfId="4524"/>
    <cellStyle name="Normal 5 44 5 3" xfId="4525"/>
    <cellStyle name="Normal 5 44 5 3 2" xfId="4526"/>
    <cellStyle name="Normal 5 44 5 3 3" xfId="4527"/>
    <cellStyle name="Normal 5 44 5 3 4" xfId="4528"/>
    <cellStyle name="Normal 5 44 5 3 5" xfId="4529"/>
    <cellStyle name="Normal 5 44 5 4" xfId="4530"/>
    <cellStyle name="Normal 5 44 5 4 2" xfId="4531"/>
    <cellStyle name="Normal 5 44 5 4 3" xfId="4532"/>
    <cellStyle name="Normal 5 44 5 4 4" xfId="4533"/>
    <cellStyle name="Normal 5 44 5 4 5" xfId="4534"/>
    <cellStyle name="Normal 5 44 5 5" xfId="4535"/>
    <cellStyle name="Normal 5 44 5 6" xfId="4536"/>
    <cellStyle name="Normal 5 44 5 7" xfId="4537"/>
    <cellStyle name="Normal 5 44 5 8" xfId="4538"/>
    <cellStyle name="Normal 5 44 6" xfId="4539"/>
    <cellStyle name="Normal 5 44 6 2" xfId="4540"/>
    <cellStyle name="Normal 5 44 6 2 2" xfId="4541"/>
    <cellStyle name="Normal 5 44 6 2 3" xfId="4542"/>
    <cellStyle name="Normal 5 44 6 2 4" xfId="4543"/>
    <cellStyle name="Normal 5 44 6 2 5" xfId="4544"/>
    <cellStyle name="Normal 5 44 6 3" xfId="4545"/>
    <cellStyle name="Normal 5 44 6 3 2" xfId="4546"/>
    <cellStyle name="Normal 5 44 6 3 3" xfId="4547"/>
    <cellStyle name="Normal 5 44 6 3 4" xfId="4548"/>
    <cellStyle name="Normal 5 44 6 3 5" xfId="4549"/>
    <cellStyle name="Normal 5 44 6 4" xfId="4550"/>
    <cellStyle name="Normal 5 44 6 4 2" xfId="4551"/>
    <cellStyle name="Normal 5 44 6 4 3" xfId="4552"/>
    <cellStyle name="Normal 5 44 6 4 4" xfId="4553"/>
    <cellStyle name="Normal 5 44 6 4 5" xfId="4554"/>
    <cellStyle name="Normal 5 44 6 5" xfId="4555"/>
    <cellStyle name="Normal 5 44 6 6" xfId="4556"/>
    <cellStyle name="Normal 5 44 6 7" xfId="4557"/>
    <cellStyle name="Normal 5 44 6 8" xfId="4558"/>
    <cellStyle name="Normal 5 44 7" xfId="4559"/>
    <cellStyle name="Normal 5 44 7 2" xfId="4560"/>
    <cellStyle name="Normal 5 44 7 2 2" xfId="4561"/>
    <cellStyle name="Normal 5 44 7 2 3" xfId="4562"/>
    <cellStyle name="Normal 5 44 7 2 4" xfId="4563"/>
    <cellStyle name="Normal 5 44 7 2 5" xfId="4564"/>
    <cellStyle name="Normal 5 44 7 3" xfId="4565"/>
    <cellStyle name="Normal 5 44 7 3 2" xfId="4566"/>
    <cellStyle name="Normal 5 44 7 3 3" xfId="4567"/>
    <cellStyle name="Normal 5 44 7 3 4" xfId="4568"/>
    <cellStyle name="Normal 5 44 7 3 5" xfId="4569"/>
    <cellStyle name="Normal 5 44 7 4" xfId="4570"/>
    <cellStyle name="Normal 5 44 7 4 2" xfId="4571"/>
    <cellStyle name="Normal 5 44 7 4 3" xfId="4572"/>
    <cellStyle name="Normal 5 44 7 4 4" xfId="4573"/>
    <cellStyle name="Normal 5 44 7 4 5" xfId="4574"/>
    <cellStyle name="Normal 5 44 7 5" xfId="4575"/>
    <cellStyle name="Normal 5 44 7 6" xfId="4576"/>
    <cellStyle name="Normal 5 44 7 7" xfId="4577"/>
    <cellStyle name="Normal 5 44 7 8" xfId="4578"/>
    <cellStyle name="Normal 5 44 8" xfId="4579"/>
    <cellStyle name="Normal 5 44 8 2" xfId="4580"/>
    <cellStyle name="Normal 5 44 8 2 2" xfId="4581"/>
    <cellStyle name="Normal 5 44 8 2 3" xfId="4582"/>
    <cellStyle name="Normal 5 44 8 2 4" xfId="4583"/>
    <cellStyle name="Normal 5 44 8 2 5" xfId="4584"/>
    <cellStyle name="Normal 5 44 8 3" xfId="4585"/>
    <cellStyle name="Normal 5 44 8 3 2" xfId="4586"/>
    <cellStyle name="Normal 5 44 8 3 3" xfId="4587"/>
    <cellStyle name="Normal 5 44 8 3 4" xfId="4588"/>
    <cellStyle name="Normal 5 44 8 3 5" xfId="4589"/>
    <cellStyle name="Normal 5 44 8 4" xfId="4590"/>
    <cellStyle name="Normal 5 44 8 4 2" xfId="4591"/>
    <cellStyle name="Normal 5 44 8 4 3" xfId="4592"/>
    <cellStyle name="Normal 5 44 8 4 4" xfId="4593"/>
    <cellStyle name="Normal 5 44 8 4 5" xfId="4594"/>
    <cellStyle name="Normal 5 44 8 5" xfId="4595"/>
    <cellStyle name="Normal 5 44 8 6" xfId="4596"/>
    <cellStyle name="Normal 5 44 8 7" xfId="4597"/>
    <cellStyle name="Normal 5 44 8 8" xfId="4598"/>
    <cellStyle name="Normal 5 44 9" xfId="4599"/>
    <cellStyle name="Normal 5 44 9 2" xfId="4600"/>
    <cellStyle name="Normal 5 44 9 2 2" xfId="4601"/>
    <cellStyle name="Normal 5 44 9 2 3" xfId="4602"/>
    <cellStyle name="Normal 5 44 9 2 4" xfId="4603"/>
    <cellStyle name="Normal 5 44 9 2 5" xfId="4604"/>
    <cellStyle name="Normal 5 44 9 3" xfId="4605"/>
    <cellStyle name="Normal 5 44 9 3 2" xfId="4606"/>
    <cellStyle name="Normal 5 44 9 3 3" xfId="4607"/>
    <cellStyle name="Normal 5 44 9 3 4" xfId="4608"/>
    <cellStyle name="Normal 5 44 9 3 5" xfId="4609"/>
    <cellStyle name="Normal 5 44 9 4" xfId="4610"/>
    <cellStyle name="Normal 5 44 9 4 2" xfId="4611"/>
    <cellStyle name="Normal 5 44 9 4 3" xfId="4612"/>
    <cellStyle name="Normal 5 44 9 4 4" xfId="4613"/>
    <cellStyle name="Normal 5 44 9 4 5" xfId="4614"/>
    <cellStyle name="Normal 5 44 9 5" xfId="4615"/>
    <cellStyle name="Normal 5 44 9 6" xfId="4616"/>
    <cellStyle name="Normal 5 44 9 7" xfId="4617"/>
    <cellStyle name="Normal 5 44 9 8" xfId="4618"/>
    <cellStyle name="Normal 5 45" xfId="4619"/>
    <cellStyle name="Normal 5 45 10" xfId="4620"/>
    <cellStyle name="Normal 5 45 11" xfId="4621"/>
    <cellStyle name="Normal 5 45 11 2" xfId="4622"/>
    <cellStyle name="Normal 5 45 11 3" xfId="4623"/>
    <cellStyle name="Normal 5 45 11 4" xfId="4624"/>
    <cellStyle name="Normal 5 45 11 5" xfId="4625"/>
    <cellStyle name="Normal 5 45 12" xfId="4626"/>
    <cellStyle name="Normal 5 45 12 2" xfId="4627"/>
    <cellStyle name="Normal 5 45 12 3" xfId="4628"/>
    <cellStyle name="Normal 5 45 12 4" xfId="4629"/>
    <cellStyle name="Normal 5 45 12 5" xfId="4630"/>
    <cellStyle name="Normal 5 45 13" xfId="4631"/>
    <cellStyle name="Normal 5 45 13 2" xfId="4632"/>
    <cellStyle name="Normal 5 45 13 3" xfId="4633"/>
    <cellStyle name="Normal 5 45 13 4" xfId="4634"/>
    <cellStyle name="Normal 5 45 13 5" xfId="4635"/>
    <cellStyle name="Normal 5 45 14" xfId="4636"/>
    <cellStyle name="Normal 5 45 15" xfId="4637"/>
    <cellStyle name="Normal 5 45 16" xfId="4638"/>
    <cellStyle name="Normal 5 45 17" xfId="4639"/>
    <cellStyle name="Normal 5 45 2" xfId="4640"/>
    <cellStyle name="Normal 5 45 3" xfId="4641"/>
    <cellStyle name="Normal 5 45 4" xfId="4642"/>
    <cellStyle name="Normal 5 45 5" xfId="4643"/>
    <cellStyle name="Normal 5 45 6" xfId="4644"/>
    <cellStyle name="Normal 5 45 7" xfId="4645"/>
    <cellStyle name="Normal 5 45 8" xfId="4646"/>
    <cellStyle name="Normal 5 45 9" xfId="4647"/>
    <cellStyle name="Normal 5 46" xfId="4648"/>
    <cellStyle name="Normal 5 46 2" xfId="4649"/>
    <cellStyle name="Normal 5 46 2 2" xfId="4650"/>
    <cellStyle name="Normal 5 46 2 3" xfId="4651"/>
    <cellStyle name="Normal 5 46 2 4" xfId="4652"/>
    <cellStyle name="Normal 5 46 2 5" xfId="4653"/>
    <cellStyle name="Normal 5 46 3" xfId="4654"/>
    <cellStyle name="Normal 5 46 3 2" xfId="4655"/>
    <cellStyle name="Normal 5 46 3 3" xfId="4656"/>
    <cellStyle name="Normal 5 46 3 4" xfId="4657"/>
    <cellStyle name="Normal 5 46 3 5" xfId="4658"/>
    <cellStyle name="Normal 5 46 4" xfId="4659"/>
    <cellStyle name="Normal 5 46 4 2" xfId="4660"/>
    <cellStyle name="Normal 5 46 4 3" xfId="4661"/>
    <cellStyle name="Normal 5 46 4 4" xfId="4662"/>
    <cellStyle name="Normal 5 46 4 5" xfId="4663"/>
    <cellStyle name="Normal 5 46 5" xfId="4664"/>
    <cellStyle name="Normal 5 46 6" xfId="4665"/>
    <cellStyle name="Normal 5 46 7" xfId="4666"/>
    <cellStyle name="Normal 5 46 8" xfId="4667"/>
    <cellStyle name="Normal 5 47" xfId="4668"/>
    <cellStyle name="Normal 5 47 2" xfId="4669"/>
    <cellStyle name="Normal 5 47 2 2" xfId="4670"/>
    <cellStyle name="Normal 5 47 2 3" xfId="4671"/>
    <cellStyle name="Normal 5 47 2 4" xfId="4672"/>
    <cellStyle name="Normal 5 47 2 5" xfId="4673"/>
    <cellStyle name="Normal 5 47 3" xfId="4674"/>
    <cellStyle name="Normal 5 47 3 2" xfId="4675"/>
    <cellStyle name="Normal 5 47 3 3" xfId="4676"/>
    <cellStyle name="Normal 5 47 3 4" xfId="4677"/>
    <cellStyle name="Normal 5 47 3 5" xfId="4678"/>
    <cellStyle name="Normal 5 47 4" xfId="4679"/>
    <cellStyle name="Normal 5 47 4 2" xfId="4680"/>
    <cellStyle name="Normal 5 47 4 3" xfId="4681"/>
    <cellStyle name="Normal 5 47 4 4" xfId="4682"/>
    <cellStyle name="Normal 5 47 4 5" xfId="4683"/>
    <cellStyle name="Normal 5 47 5" xfId="4684"/>
    <cellStyle name="Normal 5 47 6" xfId="4685"/>
    <cellStyle name="Normal 5 47 7" xfId="4686"/>
    <cellStyle name="Normal 5 47 8" xfId="4687"/>
    <cellStyle name="Normal 5 48" xfId="4688"/>
    <cellStyle name="Normal 5 48 2" xfId="4689"/>
    <cellStyle name="Normal 5 48 2 2" xfId="4690"/>
    <cellStyle name="Normal 5 48 2 3" xfId="4691"/>
    <cellStyle name="Normal 5 48 2 4" xfId="4692"/>
    <cellStyle name="Normal 5 48 2 5" xfId="4693"/>
    <cellStyle name="Normal 5 48 3" xfId="4694"/>
    <cellStyle name="Normal 5 48 3 2" xfId="4695"/>
    <cellStyle name="Normal 5 48 3 3" xfId="4696"/>
    <cellStyle name="Normal 5 48 3 4" xfId="4697"/>
    <cellStyle name="Normal 5 48 3 5" xfId="4698"/>
    <cellStyle name="Normal 5 48 4" xfId="4699"/>
    <cellStyle name="Normal 5 48 4 2" xfId="4700"/>
    <cellStyle name="Normal 5 48 4 3" xfId="4701"/>
    <cellStyle name="Normal 5 48 4 4" xfId="4702"/>
    <cellStyle name="Normal 5 48 4 5" xfId="4703"/>
    <cellStyle name="Normal 5 48 5" xfId="4704"/>
    <cellStyle name="Normal 5 48 6" xfId="4705"/>
    <cellStyle name="Normal 5 48 7" xfId="4706"/>
    <cellStyle name="Normal 5 48 8" xfId="4707"/>
    <cellStyle name="Normal 5 49" xfId="4708"/>
    <cellStyle name="Normal 5 49 2" xfId="4709"/>
    <cellStyle name="Normal 5 49 2 2" xfId="4710"/>
    <cellStyle name="Normal 5 49 2 3" xfId="4711"/>
    <cellStyle name="Normal 5 49 2 4" xfId="4712"/>
    <cellStyle name="Normal 5 49 2 5" xfId="4713"/>
    <cellStyle name="Normal 5 49 3" xfId="4714"/>
    <cellStyle name="Normal 5 49 3 2" xfId="4715"/>
    <cellStyle name="Normal 5 49 3 3" xfId="4716"/>
    <cellStyle name="Normal 5 49 3 4" xfId="4717"/>
    <cellStyle name="Normal 5 49 3 5" xfId="4718"/>
    <cellStyle name="Normal 5 49 4" xfId="4719"/>
    <cellStyle name="Normal 5 49 4 2" xfId="4720"/>
    <cellStyle name="Normal 5 49 4 3" xfId="4721"/>
    <cellStyle name="Normal 5 49 4 4" xfId="4722"/>
    <cellStyle name="Normal 5 49 4 5" xfId="4723"/>
    <cellStyle name="Normal 5 49 5" xfId="4724"/>
    <cellStyle name="Normal 5 49 6" xfId="4725"/>
    <cellStyle name="Normal 5 49 7" xfId="4726"/>
    <cellStyle name="Normal 5 49 8" xfId="4727"/>
    <cellStyle name="Normal 5 5" xfId="4728"/>
    <cellStyle name="Normal 5 50" xfId="4729"/>
    <cellStyle name="Normal 5 50 2" xfId="4730"/>
    <cellStyle name="Normal 5 50 2 2" xfId="4731"/>
    <cellStyle name="Normal 5 50 2 3" xfId="4732"/>
    <cellStyle name="Normal 5 50 2 4" xfId="4733"/>
    <cellStyle name="Normal 5 50 2 5" xfId="4734"/>
    <cellStyle name="Normal 5 50 3" xfId="4735"/>
    <cellStyle name="Normal 5 50 3 2" xfId="4736"/>
    <cellStyle name="Normal 5 50 3 3" xfId="4737"/>
    <cellStyle name="Normal 5 50 3 4" xfId="4738"/>
    <cellStyle name="Normal 5 50 3 5" xfId="4739"/>
    <cellStyle name="Normal 5 50 4" xfId="4740"/>
    <cellStyle name="Normal 5 50 4 2" xfId="4741"/>
    <cellStyle name="Normal 5 50 4 3" xfId="4742"/>
    <cellStyle name="Normal 5 50 4 4" xfId="4743"/>
    <cellStyle name="Normal 5 50 4 5" xfId="4744"/>
    <cellStyle name="Normal 5 50 5" xfId="4745"/>
    <cellStyle name="Normal 5 50 6" xfId="4746"/>
    <cellStyle name="Normal 5 50 7" xfId="4747"/>
    <cellStyle name="Normal 5 50 8" xfId="4748"/>
    <cellStyle name="Normal 5 51" xfId="4749"/>
    <cellStyle name="Normal 5 51 2" xfId="4750"/>
    <cellStyle name="Normal 5 51 2 2" xfId="4751"/>
    <cellStyle name="Normal 5 51 2 3" xfId="4752"/>
    <cellStyle name="Normal 5 51 2 4" xfId="4753"/>
    <cellStyle name="Normal 5 51 2 5" xfId="4754"/>
    <cellStyle name="Normal 5 51 3" xfId="4755"/>
    <cellStyle name="Normal 5 51 3 2" xfId="4756"/>
    <cellStyle name="Normal 5 51 3 3" xfId="4757"/>
    <cellStyle name="Normal 5 51 3 4" xfId="4758"/>
    <cellStyle name="Normal 5 51 3 5" xfId="4759"/>
    <cellStyle name="Normal 5 51 4" xfId="4760"/>
    <cellStyle name="Normal 5 51 4 2" xfId="4761"/>
    <cellStyle name="Normal 5 51 4 3" xfId="4762"/>
    <cellStyle name="Normal 5 51 4 4" xfId="4763"/>
    <cellStyle name="Normal 5 51 4 5" xfId="4764"/>
    <cellStyle name="Normal 5 51 5" xfId="4765"/>
    <cellStyle name="Normal 5 51 6" xfId="4766"/>
    <cellStyle name="Normal 5 51 7" xfId="4767"/>
    <cellStyle name="Normal 5 51 8" xfId="4768"/>
    <cellStyle name="Normal 5 52" xfId="4769"/>
    <cellStyle name="Normal 5 52 2" xfId="4770"/>
    <cellStyle name="Normal 5 52 2 2" xfId="4771"/>
    <cellStyle name="Normal 5 52 2 3" xfId="4772"/>
    <cellStyle name="Normal 5 52 2 4" xfId="4773"/>
    <cellStyle name="Normal 5 52 2 5" xfId="4774"/>
    <cellStyle name="Normal 5 52 3" xfId="4775"/>
    <cellStyle name="Normal 5 52 3 2" xfId="4776"/>
    <cellStyle name="Normal 5 52 3 3" xfId="4777"/>
    <cellStyle name="Normal 5 52 3 4" xfId="4778"/>
    <cellStyle name="Normal 5 52 3 5" xfId="4779"/>
    <cellStyle name="Normal 5 52 4" xfId="4780"/>
    <cellStyle name="Normal 5 52 4 2" xfId="4781"/>
    <cellStyle name="Normal 5 52 4 3" xfId="4782"/>
    <cellStyle name="Normal 5 52 4 4" xfId="4783"/>
    <cellStyle name="Normal 5 52 4 5" xfId="4784"/>
    <cellStyle name="Normal 5 52 5" xfId="4785"/>
    <cellStyle name="Normal 5 52 6" xfId="4786"/>
    <cellStyle name="Normal 5 52 7" xfId="4787"/>
    <cellStyle name="Normal 5 52 8" xfId="4788"/>
    <cellStyle name="Normal 5 53" xfId="4789"/>
    <cellStyle name="Normal 5 53 2" xfId="4790"/>
    <cellStyle name="Normal 5 53 2 2" xfId="4791"/>
    <cellStyle name="Normal 5 53 2 3" xfId="4792"/>
    <cellStyle name="Normal 5 53 2 4" xfId="4793"/>
    <cellStyle name="Normal 5 53 2 5" xfId="4794"/>
    <cellStyle name="Normal 5 53 3" xfId="4795"/>
    <cellStyle name="Normal 5 53 3 2" xfId="4796"/>
    <cellStyle name="Normal 5 53 3 3" xfId="4797"/>
    <cellStyle name="Normal 5 53 3 4" xfId="4798"/>
    <cellStyle name="Normal 5 53 3 5" xfId="4799"/>
    <cellStyle name="Normal 5 53 4" xfId="4800"/>
    <cellStyle name="Normal 5 53 4 2" xfId="4801"/>
    <cellStyle name="Normal 5 53 4 3" xfId="4802"/>
    <cellStyle name="Normal 5 53 4 4" xfId="4803"/>
    <cellStyle name="Normal 5 53 4 5" xfId="4804"/>
    <cellStyle name="Normal 5 53 5" xfId="4805"/>
    <cellStyle name="Normal 5 53 6" xfId="4806"/>
    <cellStyle name="Normal 5 53 7" xfId="4807"/>
    <cellStyle name="Normal 5 53 8" xfId="4808"/>
    <cellStyle name="Normal 5 54" xfId="4809"/>
    <cellStyle name="Normal 5 55" xfId="4810"/>
    <cellStyle name="Normal 5 56" xfId="4811"/>
    <cellStyle name="Normal 5 57" xfId="4812"/>
    <cellStyle name="Normal 5 58" xfId="4813"/>
    <cellStyle name="Normal 5 59" xfId="4814"/>
    <cellStyle name="Normal 5 6" xfId="4815"/>
    <cellStyle name="Normal 5 7" xfId="4816"/>
    <cellStyle name="Normal 5 8" xfId="4817"/>
    <cellStyle name="Normal 5 9" xfId="4818"/>
    <cellStyle name="Normal 50" xfId="4819"/>
    <cellStyle name="Normal 50 10" xfId="4820"/>
    <cellStyle name="Normal 50 11" xfId="4821"/>
    <cellStyle name="Normal 50 12" xfId="4822"/>
    <cellStyle name="Normal 50 13" xfId="4823"/>
    <cellStyle name="Normal 50 14" xfId="4824"/>
    <cellStyle name="Normal 50 15" xfId="4825"/>
    <cellStyle name="Normal 50 16" xfId="4826"/>
    <cellStyle name="Normal 50 17" xfId="4827"/>
    <cellStyle name="Normal 50 18" xfId="4828"/>
    <cellStyle name="Normal 50 19" xfId="4829"/>
    <cellStyle name="Normal 50 2" xfId="4830"/>
    <cellStyle name="Normal 50 20" xfId="4831"/>
    <cellStyle name="Normal 50 3" xfId="4832"/>
    <cellStyle name="Normal 50 4" xfId="4833"/>
    <cellStyle name="Normal 50 5" xfId="4834"/>
    <cellStyle name="Normal 50 6" xfId="4835"/>
    <cellStyle name="Normal 50 7" xfId="4836"/>
    <cellStyle name="Normal 50 8" xfId="4837"/>
    <cellStyle name="Normal 50 9" xfId="4838"/>
    <cellStyle name="Normal 51" xfId="4839"/>
    <cellStyle name="Normal 51 10" xfId="4840"/>
    <cellStyle name="Normal 51 11" xfId="4841"/>
    <cellStyle name="Normal 51 12" xfId="4842"/>
    <cellStyle name="Normal 51 13" xfId="4843"/>
    <cellStyle name="Normal 51 14" xfId="4844"/>
    <cellStyle name="Normal 51 15" xfId="4845"/>
    <cellStyle name="Normal 51 16" xfId="4846"/>
    <cellStyle name="Normal 51 17" xfId="4847"/>
    <cellStyle name="Normal 51 18" xfId="4848"/>
    <cellStyle name="Normal 51 19" xfId="4849"/>
    <cellStyle name="Normal 51 2" xfId="4850"/>
    <cellStyle name="Normal 51 20" xfId="4851"/>
    <cellStyle name="Normal 51 3" xfId="4852"/>
    <cellStyle name="Normal 51 4" xfId="4853"/>
    <cellStyle name="Normal 51 5" xfId="4854"/>
    <cellStyle name="Normal 51 6" xfId="4855"/>
    <cellStyle name="Normal 51 7" xfId="4856"/>
    <cellStyle name="Normal 51 8" xfId="4857"/>
    <cellStyle name="Normal 51 9" xfId="4858"/>
    <cellStyle name="Normal 52" xfId="4859"/>
    <cellStyle name="Normal 52 10" xfId="4860"/>
    <cellStyle name="Normal 52 11" xfId="4861"/>
    <cellStyle name="Normal 52 12" xfId="4862"/>
    <cellStyle name="Normal 52 13" xfId="4863"/>
    <cellStyle name="Normal 52 14" xfId="4864"/>
    <cellStyle name="Normal 52 15" xfId="4865"/>
    <cellStyle name="Normal 52 16" xfId="4866"/>
    <cellStyle name="Normal 52 17" xfId="4867"/>
    <cellStyle name="Normal 52 18" xfId="4868"/>
    <cellStyle name="Normal 52 19" xfId="4869"/>
    <cellStyle name="Normal 52 2" xfId="4870"/>
    <cellStyle name="Normal 52 20" xfId="4871"/>
    <cellStyle name="Normal 52 3" xfId="4872"/>
    <cellStyle name="Normal 52 4" xfId="4873"/>
    <cellStyle name="Normal 52 5" xfId="4874"/>
    <cellStyle name="Normal 52 6" xfId="4875"/>
    <cellStyle name="Normal 52 7" xfId="4876"/>
    <cellStyle name="Normal 52 8" xfId="4877"/>
    <cellStyle name="Normal 52 9" xfId="4878"/>
    <cellStyle name="Normal 53" xfId="4879"/>
    <cellStyle name="Normal 53 10" xfId="4880"/>
    <cellStyle name="Normal 53 11" xfId="4881"/>
    <cellStyle name="Normal 53 12" xfId="4882"/>
    <cellStyle name="Normal 53 13" xfId="4883"/>
    <cellStyle name="Normal 53 14" xfId="4884"/>
    <cellStyle name="Normal 53 15" xfId="4885"/>
    <cellStyle name="Normal 53 16" xfId="4886"/>
    <cellStyle name="Normal 53 17" xfId="4887"/>
    <cellStyle name="Normal 53 18" xfId="4888"/>
    <cellStyle name="Normal 53 19" xfId="4889"/>
    <cellStyle name="Normal 53 2" xfId="4890"/>
    <cellStyle name="Normal 53 20" xfId="4891"/>
    <cellStyle name="Normal 53 3" xfId="4892"/>
    <cellStyle name="Normal 53 4" xfId="4893"/>
    <cellStyle name="Normal 53 5" xfId="4894"/>
    <cellStyle name="Normal 53 6" xfId="4895"/>
    <cellStyle name="Normal 53 7" xfId="4896"/>
    <cellStyle name="Normal 53 8" xfId="4897"/>
    <cellStyle name="Normal 53 9" xfId="4898"/>
    <cellStyle name="Normal 54" xfId="4899"/>
    <cellStyle name="Normal 54 10" xfId="4900"/>
    <cellStyle name="Normal 54 11" xfId="4901"/>
    <cellStyle name="Normal 54 12" xfId="4902"/>
    <cellStyle name="Normal 54 13" xfId="4903"/>
    <cellStyle name="Normal 54 14" xfId="4904"/>
    <cellStyle name="Normal 54 15" xfId="4905"/>
    <cellStyle name="Normal 54 16" xfId="4906"/>
    <cellStyle name="Normal 54 17" xfId="4907"/>
    <cellStyle name="Normal 54 18" xfId="4908"/>
    <cellStyle name="Normal 54 19" xfId="4909"/>
    <cellStyle name="Normal 54 2" xfId="4910"/>
    <cellStyle name="Normal 54 20" xfId="4911"/>
    <cellStyle name="Normal 54 3" xfId="4912"/>
    <cellStyle name="Normal 54 4" xfId="4913"/>
    <cellStyle name="Normal 54 5" xfId="4914"/>
    <cellStyle name="Normal 54 6" xfId="4915"/>
    <cellStyle name="Normal 54 7" xfId="4916"/>
    <cellStyle name="Normal 54 8" xfId="4917"/>
    <cellStyle name="Normal 54 9" xfId="4918"/>
    <cellStyle name="Normal 55" xfId="4919"/>
    <cellStyle name="Normal 55 10" xfId="4920"/>
    <cellStyle name="Normal 55 11" xfId="4921"/>
    <cellStyle name="Normal 55 12" xfId="4922"/>
    <cellStyle name="Normal 55 13" xfId="4923"/>
    <cellStyle name="Normal 55 14" xfId="4924"/>
    <cellStyle name="Normal 55 15" xfId="4925"/>
    <cellStyle name="Normal 55 16" xfId="4926"/>
    <cellStyle name="Normal 55 17" xfId="4927"/>
    <cellStyle name="Normal 55 18" xfId="4928"/>
    <cellStyle name="Normal 55 19" xfId="4929"/>
    <cellStyle name="Normal 55 2" xfId="4930"/>
    <cellStyle name="Normal 55 20" xfId="4931"/>
    <cellStyle name="Normal 55 3" xfId="4932"/>
    <cellStyle name="Normal 55 4" xfId="4933"/>
    <cellStyle name="Normal 55 5" xfId="4934"/>
    <cellStyle name="Normal 55 6" xfId="4935"/>
    <cellStyle name="Normal 55 7" xfId="4936"/>
    <cellStyle name="Normal 55 8" xfId="4937"/>
    <cellStyle name="Normal 55 9" xfId="4938"/>
    <cellStyle name="Normal 56" xfId="4939"/>
    <cellStyle name="Normal 56 10" xfId="4940"/>
    <cellStyle name="Normal 56 11" xfId="4941"/>
    <cellStyle name="Normal 56 12" xfId="4942"/>
    <cellStyle name="Normal 56 13" xfId="4943"/>
    <cellStyle name="Normal 56 14" xfId="4944"/>
    <cellStyle name="Normal 56 15" xfId="4945"/>
    <cellStyle name="Normal 56 16" xfId="4946"/>
    <cellStyle name="Normal 56 17" xfId="4947"/>
    <cellStyle name="Normal 56 18" xfId="4948"/>
    <cellStyle name="Normal 56 19" xfId="4949"/>
    <cellStyle name="Normal 56 2" xfId="4950"/>
    <cellStyle name="Normal 56 20" xfId="4951"/>
    <cellStyle name="Normal 56 3" xfId="4952"/>
    <cellStyle name="Normal 56 4" xfId="4953"/>
    <cellStyle name="Normal 56 5" xfId="4954"/>
    <cellStyle name="Normal 56 6" xfId="4955"/>
    <cellStyle name="Normal 56 7" xfId="4956"/>
    <cellStyle name="Normal 56 8" xfId="4957"/>
    <cellStyle name="Normal 56 9" xfId="4958"/>
    <cellStyle name="Normal 57" xfId="4959"/>
    <cellStyle name="Normal 57 10" xfId="4960"/>
    <cellStyle name="Normal 57 11" xfId="4961"/>
    <cellStyle name="Normal 57 12" xfId="4962"/>
    <cellStyle name="Normal 57 13" xfId="4963"/>
    <cellStyle name="Normal 57 14" xfId="4964"/>
    <cellStyle name="Normal 57 15" xfId="4965"/>
    <cellStyle name="Normal 57 16" xfId="4966"/>
    <cellStyle name="Normal 57 17" xfId="4967"/>
    <cellStyle name="Normal 57 18" xfId="4968"/>
    <cellStyle name="Normal 57 19" xfId="4969"/>
    <cellStyle name="Normal 57 2" xfId="4970"/>
    <cellStyle name="Normal 57 20" xfId="4971"/>
    <cellStyle name="Normal 57 3" xfId="4972"/>
    <cellStyle name="Normal 57 4" xfId="4973"/>
    <cellStyle name="Normal 57 5" xfId="4974"/>
    <cellStyle name="Normal 57 6" xfId="4975"/>
    <cellStyle name="Normal 57 7" xfId="4976"/>
    <cellStyle name="Normal 57 8" xfId="4977"/>
    <cellStyle name="Normal 57 9" xfId="4978"/>
    <cellStyle name="Normal 58" xfId="4979"/>
    <cellStyle name="Normal 58 10" xfId="4980"/>
    <cellStyle name="Normal 58 11" xfId="4981"/>
    <cellStyle name="Normal 58 12" xfId="4982"/>
    <cellStyle name="Normal 58 13" xfId="4983"/>
    <cellStyle name="Normal 58 14" xfId="4984"/>
    <cellStyle name="Normal 58 15" xfId="4985"/>
    <cellStyle name="Normal 58 16" xfId="4986"/>
    <cellStyle name="Normal 58 17" xfId="4987"/>
    <cellStyle name="Normal 58 18" xfId="4988"/>
    <cellStyle name="Normal 58 19" xfId="4989"/>
    <cellStyle name="Normal 58 2" xfId="4990"/>
    <cellStyle name="Normal 58 20" xfId="4991"/>
    <cellStyle name="Normal 58 3" xfId="4992"/>
    <cellStyle name="Normal 58 4" xfId="4993"/>
    <cellStyle name="Normal 58 5" xfId="4994"/>
    <cellStyle name="Normal 58 6" xfId="4995"/>
    <cellStyle name="Normal 58 7" xfId="4996"/>
    <cellStyle name="Normal 58 8" xfId="4997"/>
    <cellStyle name="Normal 58 9" xfId="4998"/>
    <cellStyle name="Normal 59" xfId="4999"/>
    <cellStyle name="Normal 59 10" xfId="5000"/>
    <cellStyle name="Normal 59 11" xfId="5001"/>
    <cellStyle name="Normal 59 12" xfId="5002"/>
    <cellStyle name="Normal 59 13" xfId="5003"/>
    <cellStyle name="Normal 59 14" xfId="5004"/>
    <cellStyle name="Normal 59 15" xfId="5005"/>
    <cellStyle name="Normal 59 16" xfId="5006"/>
    <cellStyle name="Normal 59 17" xfId="5007"/>
    <cellStyle name="Normal 59 18" xfId="5008"/>
    <cellStyle name="Normal 59 19" xfId="5009"/>
    <cellStyle name="Normal 59 2" xfId="5010"/>
    <cellStyle name="Normal 59 20" xfId="5011"/>
    <cellStyle name="Normal 59 3" xfId="5012"/>
    <cellStyle name="Normal 59 4" xfId="5013"/>
    <cellStyle name="Normal 59 5" xfId="5014"/>
    <cellStyle name="Normal 59 6" xfId="5015"/>
    <cellStyle name="Normal 59 7" xfId="5016"/>
    <cellStyle name="Normal 59 8" xfId="5017"/>
    <cellStyle name="Normal 59 9" xfId="5018"/>
    <cellStyle name="Normal 6" xfId="11"/>
    <cellStyle name="Normal 6 10" xfId="5019"/>
    <cellStyle name="Normal 6 11" xfId="5020"/>
    <cellStyle name="Normal 6 12" xfId="5021"/>
    <cellStyle name="Normal 6 13" xfId="5022"/>
    <cellStyle name="Normal 6 14" xfId="5023"/>
    <cellStyle name="Normal 6 15" xfId="5024"/>
    <cellStyle name="Normal 6 16" xfId="5025"/>
    <cellStyle name="Normal 6 17" xfId="5026"/>
    <cellStyle name="Normal 6 18" xfId="5027"/>
    <cellStyle name="Normal 6 19" xfId="5028"/>
    <cellStyle name="Normal 6 2" xfId="5029"/>
    <cellStyle name="Normal 6 2 2" xfId="5030"/>
    <cellStyle name="Normal 6 2 2 2" xfId="5031"/>
    <cellStyle name="Normal 6 2 2 3" xfId="5032"/>
    <cellStyle name="Normal 6 2 2 4" xfId="5033"/>
    <cellStyle name="Normal 6 2 2 5" xfId="5034"/>
    <cellStyle name="Normal 6 2 3" xfId="5035"/>
    <cellStyle name="Normal 6 2 4" xfId="5036"/>
    <cellStyle name="Normal 6 2 5" xfId="5037"/>
    <cellStyle name="Normal 6 20" xfId="5038"/>
    <cellStyle name="Normal 6 21" xfId="5039"/>
    <cellStyle name="Normal 6 22" xfId="5040"/>
    <cellStyle name="Normal 6 23" xfId="5041"/>
    <cellStyle name="Normal 6 24" xfId="5042"/>
    <cellStyle name="Normal 6 25" xfId="5043"/>
    <cellStyle name="Normal 6 26" xfId="5044"/>
    <cellStyle name="Normal 6 27" xfId="5045"/>
    <cellStyle name="Normal 6 28" xfId="5046"/>
    <cellStyle name="Normal 6 29" xfId="5047"/>
    <cellStyle name="Normal 6 3" xfId="5048"/>
    <cellStyle name="Normal 6 30" xfId="5049"/>
    <cellStyle name="Normal 6 31" xfId="5050"/>
    <cellStyle name="Normal 6 32" xfId="5051"/>
    <cellStyle name="Normal 6 33" xfId="5052"/>
    <cellStyle name="Normal 6 34" xfId="5053"/>
    <cellStyle name="Normal 6 35" xfId="5054"/>
    <cellStyle name="Normal 6 36" xfId="5055"/>
    <cellStyle name="Normal 6 37" xfId="5056"/>
    <cellStyle name="Normal 6 38" xfId="5057"/>
    <cellStyle name="Normal 6 39" xfId="5058"/>
    <cellStyle name="Normal 6 4" xfId="5059"/>
    <cellStyle name="Normal 6 40" xfId="5060"/>
    <cellStyle name="Normal 6 41" xfId="5061"/>
    <cellStyle name="Normal 6 42" xfId="5062"/>
    <cellStyle name="Normal 6 43" xfId="5063"/>
    <cellStyle name="Normal 6 44" xfId="5064"/>
    <cellStyle name="Normal 6 5" xfId="5065"/>
    <cellStyle name="Normal 6 6" xfId="5066"/>
    <cellStyle name="Normal 6 7" xfId="5067"/>
    <cellStyle name="Normal 6 8" xfId="5068"/>
    <cellStyle name="Normal 6 9" xfId="5069"/>
    <cellStyle name="Normal 60" xfId="5070"/>
    <cellStyle name="Normal 60 10" xfId="5071"/>
    <cellStyle name="Normal 60 11" xfId="5072"/>
    <cellStyle name="Normal 60 12" xfId="5073"/>
    <cellStyle name="Normal 60 13" xfId="5074"/>
    <cellStyle name="Normal 60 14" xfId="5075"/>
    <cellStyle name="Normal 60 15" xfId="5076"/>
    <cellStyle name="Normal 60 16" xfId="5077"/>
    <cellStyle name="Normal 60 17" xfId="5078"/>
    <cellStyle name="Normal 60 18" xfId="5079"/>
    <cellStyle name="Normal 60 19" xfId="5080"/>
    <cellStyle name="Normal 60 2" xfId="5081"/>
    <cellStyle name="Normal 60 20" xfId="5082"/>
    <cellStyle name="Normal 60 3" xfId="5083"/>
    <cellStyle name="Normal 60 4" xfId="5084"/>
    <cellStyle name="Normal 60 5" xfId="5085"/>
    <cellStyle name="Normal 60 6" xfId="5086"/>
    <cellStyle name="Normal 60 7" xfId="5087"/>
    <cellStyle name="Normal 60 8" xfId="5088"/>
    <cellStyle name="Normal 60 9" xfId="5089"/>
    <cellStyle name="Normal 61" xfId="5090"/>
    <cellStyle name="Normal 61 10" xfId="5091"/>
    <cellStyle name="Normal 61 11" xfId="5092"/>
    <cellStyle name="Normal 61 12" xfId="5093"/>
    <cellStyle name="Normal 61 13" xfId="5094"/>
    <cellStyle name="Normal 61 14" xfId="5095"/>
    <cellStyle name="Normal 61 15" xfId="5096"/>
    <cellStyle name="Normal 61 16" xfId="5097"/>
    <cellStyle name="Normal 61 17" xfId="5098"/>
    <cellStyle name="Normal 61 18" xfId="5099"/>
    <cellStyle name="Normal 61 19" xfId="5100"/>
    <cellStyle name="Normal 61 2" xfId="5101"/>
    <cellStyle name="Normal 61 20" xfId="5102"/>
    <cellStyle name="Normal 61 3" xfId="5103"/>
    <cellStyle name="Normal 61 4" xfId="5104"/>
    <cellStyle name="Normal 61 5" xfId="5105"/>
    <cellStyle name="Normal 61 6" xfId="5106"/>
    <cellStyle name="Normal 61 7" xfId="5107"/>
    <cellStyle name="Normal 61 8" xfId="5108"/>
    <cellStyle name="Normal 61 9" xfId="5109"/>
    <cellStyle name="Normal 62" xfId="5110"/>
    <cellStyle name="Normal 62 10" xfId="5111"/>
    <cellStyle name="Normal 62 11" xfId="5112"/>
    <cellStyle name="Normal 62 12" xfId="5113"/>
    <cellStyle name="Normal 62 13" xfId="5114"/>
    <cellStyle name="Normal 62 14" xfId="5115"/>
    <cellStyle name="Normal 62 15" xfId="5116"/>
    <cellStyle name="Normal 62 16" xfId="5117"/>
    <cellStyle name="Normal 62 17" xfId="5118"/>
    <cellStyle name="Normal 62 18" xfId="5119"/>
    <cellStyle name="Normal 62 19" xfId="5120"/>
    <cellStyle name="Normal 62 2" xfId="5121"/>
    <cellStyle name="Normal 62 20" xfId="5122"/>
    <cellStyle name="Normal 62 3" xfId="5123"/>
    <cellStyle name="Normal 62 4" xfId="5124"/>
    <cellStyle name="Normal 62 5" xfId="5125"/>
    <cellStyle name="Normal 62 6" xfId="5126"/>
    <cellStyle name="Normal 62 7" xfId="5127"/>
    <cellStyle name="Normal 62 8" xfId="5128"/>
    <cellStyle name="Normal 62 9" xfId="5129"/>
    <cellStyle name="Normal 63" xfId="5130"/>
    <cellStyle name="Normal 63 10" xfId="5131"/>
    <cellStyle name="Normal 63 11" xfId="5132"/>
    <cellStyle name="Normal 63 12" xfId="5133"/>
    <cellStyle name="Normal 63 13" xfId="5134"/>
    <cellStyle name="Normal 63 14" xfId="5135"/>
    <cellStyle name="Normal 63 15" xfId="5136"/>
    <cellStyle name="Normal 63 16" xfId="5137"/>
    <cellStyle name="Normal 63 17" xfId="5138"/>
    <cellStyle name="Normal 63 18" xfId="5139"/>
    <cellStyle name="Normal 63 19" xfId="5140"/>
    <cellStyle name="Normal 63 2" xfId="5141"/>
    <cellStyle name="Normal 63 20" xfId="5142"/>
    <cellStyle name="Normal 63 3" xfId="5143"/>
    <cellStyle name="Normal 63 4" xfId="5144"/>
    <cellStyle name="Normal 63 5" xfId="5145"/>
    <cellStyle name="Normal 63 6" xfId="5146"/>
    <cellStyle name="Normal 63 7" xfId="5147"/>
    <cellStyle name="Normal 63 8" xfId="5148"/>
    <cellStyle name="Normal 63 9" xfId="5149"/>
    <cellStyle name="Normal 64" xfId="5150"/>
    <cellStyle name="Normal 64 10" xfId="5151"/>
    <cellStyle name="Normal 64 11" xfId="5152"/>
    <cellStyle name="Normal 64 12" xfId="5153"/>
    <cellStyle name="Normal 64 13" xfId="5154"/>
    <cellStyle name="Normal 64 14" xfId="5155"/>
    <cellStyle name="Normal 64 15" xfId="5156"/>
    <cellStyle name="Normal 64 16" xfId="5157"/>
    <cellStyle name="Normal 64 17" xfId="5158"/>
    <cellStyle name="Normal 64 18" xfId="5159"/>
    <cellStyle name="Normal 64 19" xfId="5160"/>
    <cellStyle name="Normal 64 2" xfId="5161"/>
    <cellStyle name="Normal 64 20" xfId="5162"/>
    <cellStyle name="Normal 64 3" xfId="5163"/>
    <cellStyle name="Normal 64 4" xfId="5164"/>
    <cellStyle name="Normal 64 5" xfId="5165"/>
    <cellStyle name="Normal 64 6" xfId="5166"/>
    <cellStyle name="Normal 64 7" xfId="5167"/>
    <cellStyle name="Normal 64 8" xfId="5168"/>
    <cellStyle name="Normal 64 9" xfId="5169"/>
    <cellStyle name="Normal 65" xfId="5170"/>
    <cellStyle name="Normal 66" xfId="5171"/>
    <cellStyle name="Normal 67" xfId="5172"/>
    <cellStyle name="Normal 68" xfId="5173"/>
    <cellStyle name="Normal 68 10" xfId="5174"/>
    <cellStyle name="Normal 68 10 2" xfId="5175"/>
    <cellStyle name="Normal 68 10 2 2" xfId="5176"/>
    <cellStyle name="Normal 68 10 2 3" xfId="5177"/>
    <cellStyle name="Normal 68 10 2 4" xfId="5178"/>
    <cellStyle name="Normal 68 10 2 5" xfId="5179"/>
    <cellStyle name="Normal 68 10 3" xfId="5180"/>
    <cellStyle name="Normal 68 10 3 2" xfId="5181"/>
    <cellStyle name="Normal 68 10 3 3" xfId="5182"/>
    <cellStyle name="Normal 68 10 3 4" xfId="5183"/>
    <cellStyle name="Normal 68 10 3 5" xfId="5184"/>
    <cellStyle name="Normal 68 10 4" xfId="5185"/>
    <cellStyle name="Normal 68 10 4 2" xfId="5186"/>
    <cellStyle name="Normal 68 10 4 3" xfId="5187"/>
    <cellStyle name="Normal 68 10 4 4" xfId="5188"/>
    <cellStyle name="Normal 68 10 4 5" xfId="5189"/>
    <cellStyle name="Normal 68 10 5" xfId="5190"/>
    <cellStyle name="Normal 68 10 6" xfId="5191"/>
    <cellStyle name="Normal 68 10 7" xfId="5192"/>
    <cellStyle name="Normal 68 10 8" xfId="5193"/>
    <cellStyle name="Normal 68 11" xfId="5194"/>
    <cellStyle name="Normal 68 11 2" xfId="5195"/>
    <cellStyle name="Normal 68 11 2 2" xfId="5196"/>
    <cellStyle name="Normal 68 11 2 3" xfId="5197"/>
    <cellStyle name="Normal 68 11 2 4" xfId="5198"/>
    <cellStyle name="Normal 68 11 2 5" xfId="5199"/>
    <cellStyle name="Normal 68 11 3" xfId="5200"/>
    <cellStyle name="Normal 68 11 3 2" xfId="5201"/>
    <cellStyle name="Normal 68 11 3 3" xfId="5202"/>
    <cellStyle name="Normal 68 11 3 4" xfId="5203"/>
    <cellStyle name="Normal 68 11 3 5" xfId="5204"/>
    <cellStyle name="Normal 68 11 4" xfId="5205"/>
    <cellStyle name="Normal 68 11 4 2" xfId="5206"/>
    <cellStyle name="Normal 68 11 4 3" xfId="5207"/>
    <cellStyle name="Normal 68 11 4 4" xfId="5208"/>
    <cellStyle name="Normal 68 11 4 5" xfId="5209"/>
    <cellStyle name="Normal 68 11 5" xfId="5210"/>
    <cellStyle name="Normal 68 11 6" xfId="5211"/>
    <cellStyle name="Normal 68 11 7" xfId="5212"/>
    <cellStyle name="Normal 68 11 8" xfId="5213"/>
    <cellStyle name="Normal 68 12" xfId="5214"/>
    <cellStyle name="Normal 68 12 2" xfId="5215"/>
    <cellStyle name="Normal 68 12 3" xfId="5216"/>
    <cellStyle name="Normal 68 12 4" xfId="5217"/>
    <cellStyle name="Normal 68 12 5" xfId="5218"/>
    <cellStyle name="Normal 68 13" xfId="5219"/>
    <cellStyle name="Normal 68 13 2" xfId="5220"/>
    <cellStyle name="Normal 68 13 3" xfId="5221"/>
    <cellStyle name="Normal 68 13 4" xfId="5222"/>
    <cellStyle name="Normal 68 13 5" xfId="5223"/>
    <cellStyle name="Normal 68 14" xfId="5224"/>
    <cellStyle name="Normal 68 14 2" xfId="5225"/>
    <cellStyle name="Normal 68 14 3" xfId="5226"/>
    <cellStyle name="Normal 68 14 4" xfId="5227"/>
    <cellStyle name="Normal 68 14 5" xfId="5228"/>
    <cellStyle name="Normal 68 15" xfId="5229"/>
    <cellStyle name="Normal 68 16" xfId="5230"/>
    <cellStyle name="Normal 68 17" xfId="5231"/>
    <cellStyle name="Normal 68 18" xfId="5232"/>
    <cellStyle name="Normal 68 2" xfId="5233"/>
    <cellStyle name="Normal 68 2 2" xfId="5234"/>
    <cellStyle name="Normal 68 2 2 2" xfId="5235"/>
    <cellStyle name="Normal 68 2 2 3" xfId="5236"/>
    <cellStyle name="Normal 68 2 2 4" xfId="5237"/>
    <cellStyle name="Normal 68 2 2 5" xfId="5238"/>
    <cellStyle name="Normal 68 2 3" xfId="5239"/>
    <cellStyle name="Normal 68 2 3 2" xfId="5240"/>
    <cellStyle name="Normal 68 2 3 3" xfId="5241"/>
    <cellStyle name="Normal 68 2 3 4" xfId="5242"/>
    <cellStyle name="Normal 68 2 3 5" xfId="5243"/>
    <cellStyle name="Normal 68 2 4" xfId="5244"/>
    <cellStyle name="Normal 68 2 4 2" xfId="5245"/>
    <cellStyle name="Normal 68 2 4 3" xfId="5246"/>
    <cellStyle name="Normal 68 2 4 4" xfId="5247"/>
    <cellStyle name="Normal 68 2 4 5" xfId="5248"/>
    <cellStyle name="Normal 68 2 5" xfId="5249"/>
    <cellStyle name="Normal 68 2 6" xfId="5250"/>
    <cellStyle name="Normal 68 2 7" xfId="5251"/>
    <cellStyle name="Normal 68 2 8" xfId="5252"/>
    <cellStyle name="Normal 68 3" xfId="5253"/>
    <cellStyle name="Normal 68 3 2" xfId="5254"/>
    <cellStyle name="Normal 68 3 2 2" xfId="5255"/>
    <cellStyle name="Normal 68 3 2 3" xfId="5256"/>
    <cellStyle name="Normal 68 3 2 4" xfId="5257"/>
    <cellStyle name="Normal 68 3 2 5" xfId="5258"/>
    <cellStyle name="Normal 68 3 3" xfId="5259"/>
    <cellStyle name="Normal 68 3 3 2" xfId="5260"/>
    <cellStyle name="Normal 68 3 3 3" xfId="5261"/>
    <cellStyle name="Normal 68 3 3 4" xfId="5262"/>
    <cellStyle name="Normal 68 3 3 5" xfId="5263"/>
    <cellStyle name="Normal 68 3 4" xfId="5264"/>
    <cellStyle name="Normal 68 3 4 2" xfId="5265"/>
    <cellStyle name="Normal 68 3 4 3" xfId="5266"/>
    <cellStyle name="Normal 68 3 4 4" xfId="5267"/>
    <cellStyle name="Normal 68 3 4 5" xfId="5268"/>
    <cellStyle name="Normal 68 3 5" xfId="5269"/>
    <cellStyle name="Normal 68 3 6" xfId="5270"/>
    <cellStyle name="Normal 68 3 7" xfId="5271"/>
    <cellStyle name="Normal 68 3 8" xfId="5272"/>
    <cellStyle name="Normal 68 4" xfId="5273"/>
    <cellStyle name="Normal 68 4 2" xfId="5274"/>
    <cellStyle name="Normal 68 4 2 2" xfId="5275"/>
    <cellStyle name="Normal 68 4 2 3" xfId="5276"/>
    <cellStyle name="Normal 68 4 2 4" xfId="5277"/>
    <cellStyle name="Normal 68 4 2 5" xfId="5278"/>
    <cellStyle name="Normal 68 4 3" xfId="5279"/>
    <cellStyle name="Normal 68 4 3 2" xfId="5280"/>
    <cellStyle name="Normal 68 4 3 3" xfId="5281"/>
    <cellStyle name="Normal 68 4 3 4" xfId="5282"/>
    <cellStyle name="Normal 68 4 3 5" xfId="5283"/>
    <cellStyle name="Normal 68 4 4" xfId="5284"/>
    <cellStyle name="Normal 68 4 4 2" xfId="5285"/>
    <cellStyle name="Normal 68 4 4 3" xfId="5286"/>
    <cellStyle name="Normal 68 4 4 4" xfId="5287"/>
    <cellStyle name="Normal 68 4 4 5" xfId="5288"/>
    <cellStyle name="Normal 68 4 5" xfId="5289"/>
    <cellStyle name="Normal 68 4 6" xfId="5290"/>
    <cellStyle name="Normal 68 4 7" xfId="5291"/>
    <cellStyle name="Normal 68 4 8" xfId="5292"/>
    <cellStyle name="Normal 68 5" xfId="5293"/>
    <cellStyle name="Normal 68 5 2" xfId="5294"/>
    <cellStyle name="Normal 68 5 2 2" xfId="5295"/>
    <cellStyle name="Normal 68 5 2 3" xfId="5296"/>
    <cellStyle name="Normal 68 5 2 4" xfId="5297"/>
    <cellStyle name="Normal 68 5 2 5" xfId="5298"/>
    <cellStyle name="Normal 68 5 3" xfId="5299"/>
    <cellStyle name="Normal 68 5 3 2" xfId="5300"/>
    <cellStyle name="Normal 68 5 3 3" xfId="5301"/>
    <cellStyle name="Normal 68 5 3 4" xfId="5302"/>
    <cellStyle name="Normal 68 5 3 5" xfId="5303"/>
    <cellStyle name="Normal 68 5 4" xfId="5304"/>
    <cellStyle name="Normal 68 5 4 2" xfId="5305"/>
    <cellStyle name="Normal 68 5 4 3" xfId="5306"/>
    <cellStyle name="Normal 68 5 4 4" xfId="5307"/>
    <cellStyle name="Normal 68 5 4 5" xfId="5308"/>
    <cellStyle name="Normal 68 5 5" xfId="5309"/>
    <cellStyle name="Normal 68 5 6" xfId="5310"/>
    <cellStyle name="Normal 68 5 7" xfId="5311"/>
    <cellStyle name="Normal 68 5 8" xfId="5312"/>
    <cellStyle name="Normal 68 6" xfId="5313"/>
    <cellStyle name="Normal 68 6 2" xfId="5314"/>
    <cellStyle name="Normal 68 6 2 2" xfId="5315"/>
    <cellStyle name="Normal 68 6 2 3" xfId="5316"/>
    <cellStyle name="Normal 68 6 2 4" xfId="5317"/>
    <cellStyle name="Normal 68 6 2 5" xfId="5318"/>
    <cellStyle name="Normal 68 6 3" xfId="5319"/>
    <cellStyle name="Normal 68 6 3 2" xfId="5320"/>
    <cellStyle name="Normal 68 6 3 3" xfId="5321"/>
    <cellStyle name="Normal 68 6 3 4" xfId="5322"/>
    <cellStyle name="Normal 68 6 3 5" xfId="5323"/>
    <cellStyle name="Normal 68 6 4" xfId="5324"/>
    <cellStyle name="Normal 68 6 4 2" xfId="5325"/>
    <cellStyle name="Normal 68 6 4 3" xfId="5326"/>
    <cellStyle name="Normal 68 6 4 4" xfId="5327"/>
    <cellStyle name="Normal 68 6 4 5" xfId="5328"/>
    <cellStyle name="Normal 68 6 5" xfId="5329"/>
    <cellStyle name="Normal 68 6 6" xfId="5330"/>
    <cellStyle name="Normal 68 6 7" xfId="5331"/>
    <cellStyle name="Normal 68 6 8" xfId="5332"/>
    <cellStyle name="Normal 68 7" xfId="5333"/>
    <cellStyle name="Normal 68 7 2" xfId="5334"/>
    <cellStyle name="Normal 68 7 2 2" xfId="5335"/>
    <cellStyle name="Normal 68 7 2 3" xfId="5336"/>
    <cellStyle name="Normal 68 7 2 4" xfId="5337"/>
    <cellStyle name="Normal 68 7 2 5" xfId="5338"/>
    <cellStyle name="Normal 68 7 3" xfId="5339"/>
    <cellStyle name="Normal 68 7 3 2" xfId="5340"/>
    <cellStyle name="Normal 68 7 3 3" xfId="5341"/>
    <cellStyle name="Normal 68 7 3 4" xfId="5342"/>
    <cellStyle name="Normal 68 7 3 5" xfId="5343"/>
    <cellStyle name="Normal 68 7 4" xfId="5344"/>
    <cellStyle name="Normal 68 7 4 2" xfId="5345"/>
    <cellStyle name="Normal 68 7 4 3" xfId="5346"/>
    <cellStyle name="Normal 68 7 4 4" xfId="5347"/>
    <cellStyle name="Normal 68 7 4 5" xfId="5348"/>
    <cellStyle name="Normal 68 7 5" xfId="5349"/>
    <cellStyle name="Normal 68 7 6" xfId="5350"/>
    <cellStyle name="Normal 68 7 7" xfId="5351"/>
    <cellStyle name="Normal 68 7 8" xfId="5352"/>
    <cellStyle name="Normal 68 8" xfId="5353"/>
    <cellStyle name="Normal 68 8 2" xfId="5354"/>
    <cellStyle name="Normal 68 8 2 2" xfId="5355"/>
    <cellStyle name="Normal 68 8 2 3" xfId="5356"/>
    <cellStyle name="Normal 68 8 2 4" xfId="5357"/>
    <cellStyle name="Normal 68 8 2 5" xfId="5358"/>
    <cellStyle name="Normal 68 8 3" xfId="5359"/>
    <cellStyle name="Normal 68 8 3 2" xfId="5360"/>
    <cellStyle name="Normal 68 8 3 3" xfId="5361"/>
    <cellStyle name="Normal 68 8 3 4" xfId="5362"/>
    <cellStyle name="Normal 68 8 3 5" xfId="5363"/>
    <cellStyle name="Normal 68 8 4" xfId="5364"/>
    <cellStyle name="Normal 68 8 4 2" xfId="5365"/>
    <cellStyle name="Normal 68 8 4 3" xfId="5366"/>
    <cellStyle name="Normal 68 8 4 4" xfId="5367"/>
    <cellStyle name="Normal 68 8 4 5" xfId="5368"/>
    <cellStyle name="Normal 68 8 5" xfId="5369"/>
    <cellStyle name="Normal 68 8 6" xfId="5370"/>
    <cellStyle name="Normal 68 8 7" xfId="5371"/>
    <cellStyle name="Normal 68 8 8" xfId="5372"/>
    <cellStyle name="Normal 68 9" xfId="5373"/>
    <cellStyle name="Normal 68 9 2" xfId="5374"/>
    <cellStyle name="Normal 68 9 2 2" xfId="5375"/>
    <cellStyle name="Normal 68 9 2 3" xfId="5376"/>
    <cellStyle name="Normal 68 9 2 4" xfId="5377"/>
    <cellStyle name="Normal 68 9 2 5" xfId="5378"/>
    <cellStyle name="Normal 68 9 3" xfId="5379"/>
    <cellStyle name="Normal 68 9 3 2" xfId="5380"/>
    <cellStyle name="Normal 68 9 3 3" xfId="5381"/>
    <cellStyle name="Normal 68 9 3 4" xfId="5382"/>
    <cellStyle name="Normal 68 9 3 5" xfId="5383"/>
    <cellStyle name="Normal 68 9 4" xfId="5384"/>
    <cellStyle name="Normal 68 9 4 2" xfId="5385"/>
    <cellStyle name="Normal 68 9 4 3" xfId="5386"/>
    <cellStyle name="Normal 68 9 4 4" xfId="5387"/>
    <cellStyle name="Normal 68 9 4 5" xfId="5388"/>
    <cellStyle name="Normal 68 9 5" xfId="5389"/>
    <cellStyle name="Normal 68 9 6" xfId="5390"/>
    <cellStyle name="Normal 68 9 7" xfId="5391"/>
    <cellStyle name="Normal 68 9 8" xfId="5392"/>
    <cellStyle name="Normal 69" xfId="5393"/>
    <cellStyle name="Normal 69 10" xfId="5394"/>
    <cellStyle name="Normal 69 10 2" xfId="5395"/>
    <cellStyle name="Normal 69 10 2 2" xfId="5396"/>
    <cellStyle name="Normal 69 10 2 3" xfId="5397"/>
    <cellStyle name="Normal 69 10 2 4" xfId="5398"/>
    <cellStyle name="Normal 69 10 2 5" xfId="5399"/>
    <cellStyle name="Normal 69 10 3" xfId="5400"/>
    <cellStyle name="Normal 69 10 3 2" xfId="5401"/>
    <cellStyle name="Normal 69 10 3 3" xfId="5402"/>
    <cellStyle name="Normal 69 10 3 4" xfId="5403"/>
    <cellStyle name="Normal 69 10 3 5" xfId="5404"/>
    <cellStyle name="Normal 69 10 4" xfId="5405"/>
    <cellStyle name="Normal 69 10 4 2" xfId="5406"/>
    <cellStyle name="Normal 69 10 4 3" xfId="5407"/>
    <cellStyle name="Normal 69 10 4 4" xfId="5408"/>
    <cellStyle name="Normal 69 10 4 5" xfId="5409"/>
    <cellStyle name="Normal 69 10 5" xfId="5410"/>
    <cellStyle name="Normal 69 10 6" xfId="5411"/>
    <cellStyle name="Normal 69 10 7" xfId="5412"/>
    <cellStyle name="Normal 69 10 8" xfId="5413"/>
    <cellStyle name="Normal 69 11" xfId="5414"/>
    <cellStyle name="Normal 69 11 2" xfId="5415"/>
    <cellStyle name="Normal 69 11 2 2" xfId="5416"/>
    <cellStyle name="Normal 69 11 2 3" xfId="5417"/>
    <cellStyle name="Normal 69 11 2 4" xfId="5418"/>
    <cellStyle name="Normal 69 11 2 5" xfId="5419"/>
    <cellStyle name="Normal 69 11 3" xfId="5420"/>
    <cellStyle name="Normal 69 11 3 2" xfId="5421"/>
    <cellStyle name="Normal 69 11 3 3" xfId="5422"/>
    <cellStyle name="Normal 69 11 3 4" xfId="5423"/>
    <cellStyle name="Normal 69 11 3 5" xfId="5424"/>
    <cellStyle name="Normal 69 11 4" xfId="5425"/>
    <cellStyle name="Normal 69 11 4 2" xfId="5426"/>
    <cellStyle name="Normal 69 11 4 3" xfId="5427"/>
    <cellStyle name="Normal 69 11 4 4" xfId="5428"/>
    <cellStyle name="Normal 69 11 4 5" xfId="5429"/>
    <cellStyle name="Normal 69 11 5" xfId="5430"/>
    <cellStyle name="Normal 69 11 6" xfId="5431"/>
    <cellStyle name="Normal 69 11 7" xfId="5432"/>
    <cellStyle name="Normal 69 11 8" xfId="5433"/>
    <cellStyle name="Normal 69 12" xfId="5434"/>
    <cellStyle name="Normal 69 12 2" xfId="5435"/>
    <cellStyle name="Normal 69 12 3" xfId="5436"/>
    <cellStyle name="Normal 69 12 4" xfId="5437"/>
    <cellStyle name="Normal 69 12 5" xfId="5438"/>
    <cellStyle name="Normal 69 13" xfId="5439"/>
    <cellStyle name="Normal 69 13 2" xfId="5440"/>
    <cellStyle name="Normal 69 13 3" xfId="5441"/>
    <cellStyle name="Normal 69 13 4" xfId="5442"/>
    <cellStyle name="Normal 69 13 5" xfId="5443"/>
    <cellStyle name="Normal 69 14" xfId="5444"/>
    <cellStyle name="Normal 69 14 2" xfId="5445"/>
    <cellStyle name="Normal 69 14 3" xfId="5446"/>
    <cellStyle name="Normal 69 14 4" xfId="5447"/>
    <cellStyle name="Normal 69 14 5" xfId="5448"/>
    <cellStyle name="Normal 69 15" xfId="5449"/>
    <cellStyle name="Normal 69 16" xfId="5450"/>
    <cellStyle name="Normal 69 17" xfId="5451"/>
    <cellStyle name="Normal 69 18" xfId="5452"/>
    <cellStyle name="Normal 69 2" xfId="5453"/>
    <cellStyle name="Normal 69 2 2" xfId="5454"/>
    <cellStyle name="Normal 69 2 2 2" xfId="5455"/>
    <cellStyle name="Normal 69 2 2 3" xfId="5456"/>
    <cellStyle name="Normal 69 2 2 4" xfId="5457"/>
    <cellStyle name="Normal 69 2 2 5" xfId="5458"/>
    <cellStyle name="Normal 69 2 3" xfId="5459"/>
    <cellStyle name="Normal 69 2 3 2" xfId="5460"/>
    <cellStyle name="Normal 69 2 3 3" xfId="5461"/>
    <cellStyle name="Normal 69 2 3 4" xfId="5462"/>
    <cellStyle name="Normal 69 2 3 5" xfId="5463"/>
    <cellStyle name="Normal 69 2 4" xfId="5464"/>
    <cellStyle name="Normal 69 2 4 2" xfId="5465"/>
    <cellStyle name="Normal 69 2 4 3" xfId="5466"/>
    <cellStyle name="Normal 69 2 4 4" xfId="5467"/>
    <cellStyle name="Normal 69 2 4 5" xfId="5468"/>
    <cellStyle name="Normal 69 2 5" xfId="5469"/>
    <cellStyle name="Normal 69 2 6" xfId="5470"/>
    <cellStyle name="Normal 69 2 7" xfId="5471"/>
    <cellStyle name="Normal 69 2 8" xfId="5472"/>
    <cellStyle name="Normal 69 3" xfId="5473"/>
    <cellStyle name="Normal 69 3 2" xfId="5474"/>
    <cellStyle name="Normal 69 3 2 2" xfId="5475"/>
    <cellStyle name="Normal 69 3 2 3" xfId="5476"/>
    <cellStyle name="Normal 69 3 2 4" xfId="5477"/>
    <cellStyle name="Normal 69 3 2 5" xfId="5478"/>
    <cellStyle name="Normal 69 3 3" xfId="5479"/>
    <cellStyle name="Normal 69 3 3 2" xfId="5480"/>
    <cellStyle name="Normal 69 3 3 3" xfId="5481"/>
    <cellStyle name="Normal 69 3 3 4" xfId="5482"/>
    <cellStyle name="Normal 69 3 3 5" xfId="5483"/>
    <cellStyle name="Normal 69 3 4" xfId="5484"/>
    <cellStyle name="Normal 69 3 4 2" xfId="5485"/>
    <cellStyle name="Normal 69 3 4 3" xfId="5486"/>
    <cellStyle name="Normal 69 3 4 4" xfId="5487"/>
    <cellStyle name="Normal 69 3 4 5" xfId="5488"/>
    <cellStyle name="Normal 69 3 5" xfId="5489"/>
    <cellStyle name="Normal 69 3 6" xfId="5490"/>
    <cellStyle name="Normal 69 3 7" xfId="5491"/>
    <cellStyle name="Normal 69 3 8" xfId="5492"/>
    <cellStyle name="Normal 69 4" xfId="5493"/>
    <cellStyle name="Normal 69 4 2" xfId="5494"/>
    <cellStyle name="Normal 69 4 2 2" xfId="5495"/>
    <cellStyle name="Normal 69 4 2 3" xfId="5496"/>
    <cellStyle name="Normal 69 4 2 4" xfId="5497"/>
    <cellStyle name="Normal 69 4 2 5" xfId="5498"/>
    <cellStyle name="Normal 69 4 3" xfId="5499"/>
    <cellStyle name="Normal 69 4 3 2" xfId="5500"/>
    <cellStyle name="Normal 69 4 3 3" xfId="5501"/>
    <cellStyle name="Normal 69 4 3 4" xfId="5502"/>
    <cellStyle name="Normal 69 4 3 5" xfId="5503"/>
    <cellStyle name="Normal 69 4 4" xfId="5504"/>
    <cellStyle name="Normal 69 4 4 2" xfId="5505"/>
    <cellStyle name="Normal 69 4 4 3" xfId="5506"/>
    <cellStyle name="Normal 69 4 4 4" xfId="5507"/>
    <cellStyle name="Normal 69 4 4 5" xfId="5508"/>
    <cellStyle name="Normal 69 4 5" xfId="5509"/>
    <cellStyle name="Normal 69 4 6" xfId="5510"/>
    <cellStyle name="Normal 69 4 7" xfId="5511"/>
    <cellStyle name="Normal 69 4 8" xfId="5512"/>
    <cellStyle name="Normal 69 5" xfId="5513"/>
    <cellStyle name="Normal 69 5 2" xfId="5514"/>
    <cellStyle name="Normal 69 5 2 2" xfId="5515"/>
    <cellStyle name="Normal 69 5 2 3" xfId="5516"/>
    <cellStyle name="Normal 69 5 2 4" xfId="5517"/>
    <cellStyle name="Normal 69 5 2 5" xfId="5518"/>
    <cellStyle name="Normal 69 5 3" xfId="5519"/>
    <cellStyle name="Normal 69 5 3 2" xfId="5520"/>
    <cellStyle name="Normal 69 5 3 3" xfId="5521"/>
    <cellStyle name="Normal 69 5 3 4" xfId="5522"/>
    <cellStyle name="Normal 69 5 3 5" xfId="5523"/>
    <cellStyle name="Normal 69 5 4" xfId="5524"/>
    <cellStyle name="Normal 69 5 4 2" xfId="5525"/>
    <cellStyle name="Normal 69 5 4 3" xfId="5526"/>
    <cellStyle name="Normal 69 5 4 4" xfId="5527"/>
    <cellStyle name="Normal 69 5 4 5" xfId="5528"/>
    <cellStyle name="Normal 69 5 5" xfId="5529"/>
    <cellStyle name="Normal 69 5 6" xfId="5530"/>
    <cellStyle name="Normal 69 5 7" xfId="5531"/>
    <cellStyle name="Normal 69 5 8" xfId="5532"/>
    <cellStyle name="Normal 69 6" xfId="5533"/>
    <cellStyle name="Normal 69 6 2" xfId="5534"/>
    <cellStyle name="Normal 69 6 2 2" xfId="5535"/>
    <cellStyle name="Normal 69 6 2 3" xfId="5536"/>
    <cellStyle name="Normal 69 6 2 4" xfId="5537"/>
    <cellStyle name="Normal 69 6 2 5" xfId="5538"/>
    <cellStyle name="Normal 69 6 3" xfId="5539"/>
    <cellStyle name="Normal 69 6 3 2" xfId="5540"/>
    <cellStyle name="Normal 69 6 3 3" xfId="5541"/>
    <cellStyle name="Normal 69 6 3 4" xfId="5542"/>
    <cellStyle name="Normal 69 6 3 5" xfId="5543"/>
    <cellStyle name="Normal 69 6 4" xfId="5544"/>
    <cellStyle name="Normal 69 6 4 2" xfId="5545"/>
    <cellStyle name="Normal 69 6 4 3" xfId="5546"/>
    <cellStyle name="Normal 69 6 4 4" xfId="5547"/>
    <cellStyle name="Normal 69 6 4 5" xfId="5548"/>
    <cellStyle name="Normal 69 6 5" xfId="5549"/>
    <cellStyle name="Normal 69 6 6" xfId="5550"/>
    <cellStyle name="Normal 69 6 7" xfId="5551"/>
    <cellStyle name="Normal 69 6 8" xfId="5552"/>
    <cellStyle name="Normal 69 7" xfId="5553"/>
    <cellStyle name="Normal 69 7 2" xfId="5554"/>
    <cellStyle name="Normal 69 7 2 2" xfId="5555"/>
    <cellStyle name="Normal 69 7 2 3" xfId="5556"/>
    <cellStyle name="Normal 69 7 2 4" xfId="5557"/>
    <cellStyle name="Normal 69 7 2 5" xfId="5558"/>
    <cellStyle name="Normal 69 7 3" xfId="5559"/>
    <cellStyle name="Normal 69 7 3 2" xfId="5560"/>
    <cellStyle name="Normal 69 7 3 3" xfId="5561"/>
    <cellStyle name="Normal 69 7 3 4" xfId="5562"/>
    <cellStyle name="Normal 69 7 3 5" xfId="5563"/>
    <cellStyle name="Normal 69 7 4" xfId="5564"/>
    <cellStyle name="Normal 69 7 4 2" xfId="5565"/>
    <cellStyle name="Normal 69 7 4 3" xfId="5566"/>
    <cellStyle name="Normal 69 7 4 4" xfId="5567"/>
    <cellStyle name="Normal 69 7 4 5" xfId="5568"/>
    <cellStyle name="Normal 69 7 5" xfId="5569"/>
    <cellStyle name="Normal 69 7 6" xfId="5570"/>
    <cellStyle name="Normal 69 7 7" xfId="5571"/>
    <cellStyle name="Normal 69 7 8" xfId="5572"/>
    <cellStyle name="Normal 69 8" xfId="5573"/>
    <cellStyle name="Normal 69 8 2" xfId="5574"/>
    <cellStyle name="Normal 69 8 2 2" xfId="5575"/>
    <cellStyle name="Normal 69 8 2 3" xfId="5576"/>
    <cellStyle name="Normal 69 8 2 4" xfId="5577"/>
    <cellStyle name="Normal 69 8 2 5" xfId="5578"/>
    <cellStyle name="Normal 69 8 3" xfId="5579"/>
    <cellStyle name="Normal 69 8 3 2" xfId="5580"/>
    <cellStyle name="Normal 69 8 3 3" xfId="5581"/>
    <cellStyle name="Normal 69 8 3 4" xfId="5582"/>
    <cellStyle name="Normal 69 8 3 5" xfId="5583"/>
    <cellStyle name="Normal 69 8 4" xfId="5584"/>
    <cellStyle name="Normal 69 8 4 2" xfId="5585"/>
    <cellStyle name="Normal 69 8 4 3" xfId="5586"/>
    <cellStyle name="Normal 69 8 4 4" xfId="5587"/>
    <cellStyle name="Normal 69 8 4 5" xfId="5588"/>
    <cellStyle name="Normal 69 8 5" xfId="5589"/>
    <cellStyle name="Normal 69 8 6" xfId="5590"/>
    <cellStyle name="Normal 69 8 7" xfId="5591"/>
    <cellStyle name="Normal 69 8 8" xfId="5592"/>
    <cellStyle name="Normal 69 9" xfId="5593"/>
    <cellStyle name="Normal 69 9 2" xfId="5594"/>
    <cellStyle name="Normal 69 9 2 2" xfId="5595"/>
    <cellStyle name="Normal 69 9 2 3" xfId="5596"/>
    <cellStyle name="Normal 69 9 2 4" xfId="5597"/>
    <cellStyle name="Normal 69 9 2 5" xfId="5598"/>
    <cellStyle name="Normal 69 9 3" xfId="5599"/>
    <cellStyle name="Normal 69 9 3 2" xfId="5600"/>
    <cellStyle name="Normal 69 9 3 3" xfId="5601"/>
    <cellStyle name="Normal 69 9 3 4" xfId="5602"/>
    <cellStyle name="Normal 69 9 3 5" xfId="5603"/>
    <cellStyle name="Normal 69 9 4" xfId="5604"/>
    <cellStyle name="Normal 69 9 4 2" xfId="5605"/>
    <cellStyle name="Normal 69 9 4 3" xfId="5606"/>
    <cellStyle name="Normal 69 9 4 4" xfId="5607"/>
    <cellStyle name="Normal 69 9 4 5" xfId="5608"/>
    <cellStyle name="Normal 69 9 5" xfId="5609"/>
    <cellStyle name="Normal 69 9 6" xfId="5610"/>
    <cellStyle name="Normal 69 9 7" xfId="5611"/>
    <cellStyle name="Normal 69 9 8" xfId="5612"/>
    <cellStyle name="Normal 7" xfId="12"/>
    <cellStyle name="Normal 7 10" xfId="5613"/>
    <cellStyle name="Normal 7 11" xfId="5614"/>
    <cellStyle name="Normal 7 12" xfId="5615"/>
    <cellStyle name="Normal 7 13" xfId="5616"/>
    <cellStyle name="Normal 7 14" xfId="5617"/>
    <cellStyle name="Normal 7 15" xfId="5618"/>
    <cellStyle name="Normal 7 16" xfId="5619"/>
    <cellStyle name="Normal 7 17" xfId="5620"/>
    <cellStyle name="Normal 7 18" xfId="5621"/>
    <cellStyle name="Normal 7 19" xfId="5622"/>
    <cellStyle name="Normal 7 2" xfId="5623"/>
    <cellStyle name="Normal 7 20" xfId="5624"/>
    <cellStyle name="Normal 7 21" xfId="5625"/>
    <cellStyle name="Normal 7 3" xfId="5626"/>
    <cellStyle name="Normal 7 4" xfId="5627"/>
    <cellStyle name="Normal 7 5" xfId="5628"/>
    <cellStyle name="Normal 7 6" xfId="5629"/>
    <cellStyle name="Normal 7 7" xfId="5630"/>
    <cellStyle name="Normal 7 8" xfId="5631"/>
    <cellStyle name="Normal 7 9" xfId="5632"/>
    <cellStyle name="Normal 70" xfId="5633"/>
    <cellStyle name="Normal 70 10" xfId="5634"/>
    <cellStyle name="Normal 70 10 2" xfId="5635"/>
    <cellStyle name="Normal 70 10 2 2" xfId="5636"/>
    <cellStyle name="Normal 70 10 2 3" xfId="5637"/>
    <cellStyle name="Normal 70 10 2 4" xfId="5638"/>
    <cellStyle name="Normal 70 10 2 5" xfId="5639"/>
    <cellStyle name="Normal 70 10 3" xfId="5640"/>
    <cellStyle name="Normal 70 10 3 2" xfId="5641"/>
    <cellStyle name="Normal 70 10 3 3" xfId="5642"/>
    <cellStyle name="Normal 70 10 3 4" xfId="5643"/>
    <cellStyle name="Normal 70 10 3 5" xfId="5644"/>
    <cellStyle name="Normal 70 10 4" xfId="5645"/>
    <cellStyle name="Normal 70 10 4 2" xfId="5646"/>
    <cellStyle name="Normal 70 10 4 3" xfId="5647"/>
    <cellStyle name="Normal 70 10 4 4" xfId="5648"/>
    <cellStyle name="Normal 70 10 4 5" xfId="5649"/>
    <cellStyle name="Normal 70 10 5" xfId="5650"/>
    <cellStyle name="Normal 70 10 6" xfId="5651"/>
    <cellStyle name="Normal 70 10 7" xfId="5652"/>
    <cellStyle name="Normal 70 10 8" xfId="5653"/>
    <cellStyle name="Normal 70 11" xfId="5654"/>
    <cellStyle name="Normal 70 11 2" xfId="5655"/>
    <cellStyle name="Normal 70 11 2 2" xfId="5656"/>
    <cellStyle name="Normal 70 11 2 3" xfId="5657"/>
    <cellStyle name="Normal 70 11 2 4" xfId="5658"/>
    <cellStyle name="Normal 70 11 2 5" xfId="5659"/>
    <cellStyle name="Normal 70 11 3" xfId="5660"/>
    <cellStyle name="Normal 70 11 3 2" xfId="5661"/>
    <cellStyle name="Normal 70 11 3 3" xfId="5662"/>
    <cellStyle name="Normal 70 11 3 4" xfId="5663"/>
    <cellStyle name="Normal 70 11 3 5" xfId="5664"/>
    <cellStyle name="Normal 70 11 4" xfId="5665"/>
    <cellStyle name="Normal 70 11 4 2" xfId="5666"/>
    <cellStyle name="Normal 70 11 4 3" xfId="5667"/>
    <cellStyle name="Normal 70 11 4 4" xfId="5668"/>
    <cellStyle name="Normal 70 11 4 5" xfId="5669"/>
    <cellStyle name="Normal 70 11 5" xfId="5670"/>
    <cellStyle name="Normal 70 11 6" xfId="5671"/>
    <cellStyle name="Normal 70 11 7" xfId="5672"/>
    <cellStyle name="Normal 70 11 8" xfId="5673"/>
    <cellStyle name="Normal 70 12" xfId="5674"/>
    <cellStyle name="Normal 70 12 2" xfId="5675"/>
    <cellStyle name="Normal 70 12 3" xfId="5676"/>
    <cellStyle name="Normal 70 12 4" xfId="5677"/>
    <cellStyle name="Normal 70 12 5" xfId="5678"/>
    <cellStyle name="Normal 70 13" xfId="5679"/>
    <cellStyle name="Normal 70 13 2" xfId="5680"/>
    <cellStyle name="Normal 70 13 3" xfId="5681"/>
    <cellStyle name="Normal 70 13 4" xfId="5682"/>
    <cellStyle name="Normal 70 13 5" xfId="5683"/>
    <cellStyle name="Normal 70 14" xfId="5684"/>
    <cellStyle name="Normal 70 14 2" xfId="5685"/>
    <cellStyle name="Normal 70 14 3" xfId="5686"/>
    <cellStyle name="Normal 70 14 4" xfId="5687"/>
    <cellStyle name="Normal 70 14 5" xfId="5688"/>
    <cellStyle name="Normal 70 15" xfId="5689"/>
    <cellStyle name="Normal 70 16" xfId="5690"/>
    <cellStyle name="Normal 70 17" xfId="5691"/>
    <cellStyle name="Normal 70 18" xfId="5692"/>
    <cellStyle name="Normal 70 2" xfId="5693"/>
    <cellStyle name="Normal 70 2 2" xfId="5694"/>
    <cellStyle name="Normal 70 2 2 2" xfId="5695"/>
    <cellStyle name="Normal 70 2 2 3" xfId="5696"/>
    <cellStyle name="Normal 70 2 2 4" xfId="5697"/>
    <cellStyle name="Normal 70 2 2 5" xfId="5698"/>
    <cellStyle name="Normal 70 2 3" xfId="5699"/>
    <cellStyle name="Normal 70 2 3 2" xfId="5700"/>
    <cellStyle name="Normal 70 2 3 3" xfId="5701"/>
    <cellStyle name="Normal 70 2 3 4" xfId="5702"/>
    <cellStyle name="Normal 70 2 3 5" xfId="5703"/>
    <cellStyle name="Normal 70 2 4" xfId="5704"/>
    <cellStyle name="Normal 70 2 4 2" xfId="5705"/>
    <cellStyle name="Normal 70 2 4 3" xfId="5706"/>
    <cellStyle name="Normal 70 2 4 4" xfId="5707"/>
    <cellStyle name="Normal 70 2 4 5" xfId="5708"/>
    <cellStyle name="Normal 70 2 5" xfId="5709"/>
    <cellStyle name="Normal 70 2 6" xfId="5710"/>
    <cellStyle name="Normal 70 2 7" xfId="5711"/>
    <cellStyle name="Normal 70 2 8" xfId="5712"/>
    <cellStyle name="Normal 70 3" xfId="5713"/>
    <cellStyle name="Normal 70 3 2" xfId="5714"/>
    <cellStyle name="Normal 70 3 2 2" xfId="5715"/>
    <cellStyle name="Normal 70 3 2 3" xfId="5716"/>
    <cellStyle name="Normal 70 3 2 4" xfId="5717"/>
    <cellStyle name="Normal 70 3 2 5" xfId="5718"/>
    <cellStyle name="Normal 70 3 3" xfId="5719"/>
    <cellStyle name="Normal 70 3 3 2" xfId="5720"/>
    <cellStyle name="Normal 70 3 3 3" xfId="5721"/>
    <cellStyle name="Normal 70 3 3 4" xfId="5722"/>
    <cellStyle name="Normal 70 3 3 5" xfId="5723"/>
    <cellStyle name="Normal 70 3 4" xfId="5724"/>
    <cellStyle name="Normal 70 3 4 2" xfId="5725"/>
    <cellStyle name="Normal 70 3 4 3" xfId="5726"/>
    <cellStyle name="Normal 70 3 4 4" xfId="5727"/>
    <cellStyle name="Normal 70 3 4 5" xfId="5728"/>
    <cellStyle name="Normal 70 3 5" xfId="5729"/>
    <cellStyle name="Normal 70 3 6" xfId="5730"/>
    <cellStyle name="Normal 70 3 7" xfId="5731"/>
    <cellStyle name="Normal 70 3 8" xfId="5732"/>
    <cellStyle name="Normal 70 4" xfId="5733"/>
    <cellStyle name="Normal 70 4 2" xfId="5734"/>
    <cellStyle name="Normal 70 4 2 2" xfId="5735"/>
    <cellStyle name="Normal 70 4 2 3" xfId="5736"/>
    <cellStyle name="Normal 70 4 2 4" xfId="5737"/>
    <cellStyle name="Normal 70 4 2 5" xfId="5738"/>
    <cellStyle name="Normal 70 4 3" xfId="5739"/>
    <cellStyle name="Normal 70 4 3 2" xfId="5740"/>
    <cellStyle name="Normal 70 4 3 3" xfId="5741"/>
    <cellStyle name="Normal 70 4 3 4" xfId="5742"/>
    <cellStyle name="Normal 70 4 3 5" xfId="5743"/>
    <cellStyle name="Normal 70 4 4" xfId="5744"/>
    <cellStyle name="Normal 70 4 4 2" xfId="5745"/>
    <cellStyle name="Normal 70 4 4 3" xfId="5746"/>
    <cellStyle name="Normal 70 4 4 4" xfId="5747"/>
    <cellStyle name="Normal 70 4 4 5" xfId="5748"/>
    <cellStyle name="Normal 70 4 5" xfId="5749"/>
    <cellStyle name="Normal 70 4 6" xfId="5750"/>
    <cellStyle name="Normal 70 4 7" xfId="5751"/>
    <cellStyle name="Normal 70 4 8" xfId="5752"/>
    <cellStyle name="Normal 70 5" xfId="5753"/>
    <cellStyle name="Normal 70 5 2" xfId="5754"/>
    <cellStyle name="Normal 70 5 2 2" xfId="5755"/>
    <cellStyle name="Normal 70 5 2 3" xfId="5756"/>
    <cellStyle name="Normal 70 5 2 4" xfId="5757"/>
    <cellStyle name="Normal 70 5 2 5" xfId="5758"/>
    <cellStyle name="Normal 70 5 3" xfId="5759"/>
    <cellStyle name="Normal 70 5 3 2" xfId="5760"/>
    <cellStyle name="Normal 70 5 3 3" xfId="5761"/>
    <cellStyle name="Normal 70 5 3 4" xfId="5762"/>
    <cellStyle name="Normal 70 5 3 5" xfId="5763"/>
    <cellStyle name="Normal 70 5 4" xfId="5764"/>
    <cellStyle name="Normal 70 5 4 2" xfId="5765"/>
    <cellStyle name="Normal 70 5 4 3" xfId="5766"/>
    <cellStyle name="Normal 70 5 4 4" xfId="5767"/>
    <cellStyle name="Normal 70 5 4 5" xfId="5768"/>
    <cellStyle name="Normal 70 5 5" xfId="5769"/>
    <cellStyle name="Normal 70 5 6" xfId="5770"/>
    <cellStyle name="Normal 70 5 7" xfId="5771"/>
    <cellStyle name="Normal 70 5 8" xfId="5772"/>
    <cellStyle name="Normal 70 6" xfId="5773"/>
    <cellStyle name="Normal 70 6 2" xfId="5774"/>
    <cellStyle name="Normal 70 6 2 2" xfId="5775"/>
    <cellStyle name="Normal 70 6 2 3" xfId="5776"/>
    <cellStyle name="Normal 70 6 2 4" xfId="5777"/>
    <cellStyle name="Normal 70 6 2 5" xfId="5778"/>
    <cellStyle name="Normal 70 6 3" xfId="5779"/>
    <cellStyle name="Normal 70 6 3 2" xfId="5780"/>
    <cellStyle name="Normal 70 6 3 3" xfId="5781"/>
    <cellStyle name="Normal 70 6 3 4" xfId="5782"/>
    <cellStyle name="Normal 70 6 3 5" xfId="5783"/>
    <cellStyle name="Normal 70 6 4" xfId="5784"/>
    <cellStyle name="Normal 70 6 4 2" xfId="5785"/>
    <cellStyle name="Normal 70 6 4 3" xfId="5786"/>
    <cellStyle name="Normal 70 6 4 4" xfId="5787"/>
    <cellStyle name="Normal 70 6 4 5" xfId="5788"/>
    <cellStyle name="Normal 70 6 5" xfId="5789"/>
    <cellStyle name="Normal 70 6 6" xfId="5790"/>
    <cellStyle name="Normal 70 6 7" xfId="5791"/>
    <cellStyle name="Normal 70 6 8" xfId="5792"/>
    <cellStyle name="Normal 70 7" xfId="5793"/>
    <cellStyle name="Normal 70 7 2" xfId="5794"/>
    <cellStyle name="Normal 70 7 2 2" xfId="5795"/>
    <cellStyle name="Normal 70 7 2 3" xfId="5796"/>
    <cellStyle name="Normal 70 7 2 4" xfId="5797"/>
    <cellStyle name="Normal 70 7 2 5" xfId="5798"/>
    <cellStyle name="Normal 70 7 3" xfId="5799"/>
    <cellStyle name="Normal 70 7 3 2" xfId="5800"/>
    <cellStyle name="Normal 70 7 3 3" xfId="5801"/>
    <cellStyle name="Normal 70 7 3 4" xfId="5802"/>
    <cellStyle name="Normal 70 7 3 5" xfId="5803"/>
    <cellStyle name="Normal 70 7 4" xfId="5804"/>
    <cellStyle name="Normal 70 7 4 2" xfId="5805"/>
    <cellStyle name="Normal 70 7 4 3" xfId="5806"/>
    <cellStyle name="Normal 70 7 4 4" xfId="5807"/>
    <cellStyle name="Normal 70 7 4 5" xfId="5808"/>
    <cellStyle name="Normal 70 7 5" xfId="5809"/>
    <cellStyle name="Normal 70 7 6" xfId="5810"/>
    <cellStyle name="Normal 70 7 7" xfId="5811"/>
    <cellStyle name="Normal 70 7 8" xfId="5812"/>
    <cellStyle name="Normal 70 8" xfId="5813"/>
    <cellStyle name="Normal 70 8 2" xfId="5814"/>
    <cellStyle name="Normal 70 8 2 2" xfId="5815"/>
    <cellStyle name="Normal 70 8 2 3" xfId="5816"/>
    <cellStyle name="Normal 70 8 2 4" xfId="5817"/>
    <cellStyle name="Normal 70 8 2 5" xfId="5818"/>
    <cellStyle name="Normal 70 8 3" xfId="5819"/>
    <cellStyle name="Normal 70 8 3 2" xfId="5820"/>
    <cellStyle name="Normal 70 8 3 3" xfId="5821"/>
    <cellStyle name="Normal 70 8 3 4" xfId="5822"/>
    <cellStyle name="Normal 70 8 3 5" xfId="5823"/>
    <cellStyle name="Normal 70 8 4" xfId="5824"/>
    <cellStyle name="Normal 70 8 4 2" xfId="5825"/>
    <cellStyle name="Normal 70 8 4 3" xfId="5826"/>
    <cellStyle name="Normal 70 8 4 4" xfId="5827"/>
    <cellStyle name="Normal 70 8 4 5" xfId="5828"/>
    <cellStyle name="Normal 70 8 5" xfId="5829"/>
    <cellStyle name="Normal 70 8 6" xfId="5830"/>
    <cellStyle name="Normal 70 8 7" xfId="5831"/>
    <cellStyle name="Normal 70 8 8" xfId="5832"/>
    <cellStyle name="Normal 70 9" xfId="5833"/>
    <cellStyle name="Normal 70 9 2" xfId="5834"/>
    <cellStyle name="Normal 70 9 2 2" xfId="5835"/>
    <cellStyle name="Normal 70 9 2 3" xfId="5836"/>
    <cellStyle name="Normal 70 9 2 4" xfId="5837"/>
    <cellStyle name="Normal 70 9 2 5" xfId="5838"/>
    <cellStyle name="Normal 70 9 3" xfId="5839"/>
    <cellStyle name="Normal 70 9 3 2" xfId="5840"/>
    <cellStyle name="Normal 70 9 3 3" xfId="5841"/>
    <cellStyle name="Normal 70 9 3 4" xfId="5842"/>
    <cellStyle name="Normal 70 9 3 5" xfId="5843"/>
    <cellStyle name="Normal 70 9 4" xfId="5844"/>
    <cellStyle name="Normal 70 9 4 2" xfId="5845"/>
    <cellStyle name="Normal 70 9 4 3" xfId="5846"/>
    <cellStyle name="Normal 70 9 4 4" xfId="5847"/>
    <cellStyle name="Normal 70 9 4 5" xfId="5848"/>
    <cellStyle name="Normal 70 9 5" xfId="5849"/>
    <cellStyle name="Normal 70 9 6" xfId="5850"/>
    <cellStyle name="Normal 70 9 7" xfId="5851"/>
    <cellStyle name="Normal 70 9 8" xfId="5852"/>
    <cellStyle name="Normal 71" xfId="5853"/>
    <cellStyle name="Normal 71 10" xfId="5854"/>
    <cellStyle name="Normal 71 10 2" xfId="5855"/>
    <cellStyle name="Normal 71 10 2 2" xfId="5856"/>
    <cellStyle name="Normal 71 10 2 3" xfId="5857"/>
    <cellStyle name="Normal 71 10 2 4" xfId="5858"/>
    <cellStyle name="Normal 71 10 2 5" xfId="5859"/>
    <cellStyle name="Normal 71 10 3" xfId="5860"/>
    <cellStyle name="Normal 71 10 3 2" xfId="5861"/>
    <cellStyle name="Normal 71 10 3 3" xfId="5862"/>
    <cellStyle name="Normal 71 10 3 4" xfId="5863"/>
    <cellStyle name="Normal 71 10 3 5" xfId="5864"/>
    <cellStyle name="Normal 71 10 4" xfId="5865"/>
    <cellStyle name="Normal 71 10 4 2" xfId="5866"/>
    <cellStyle name="Normal 71 10 4 3" xfId="5867"/>
    <cellStyle name="Normal 71 10 4 4" xfId="5868"/>
    <cellStyle name="Normal 71 10 4 5" xfId="5869"/>
    <cellStyle name="Normal 71 10 5" xfId="5870"/>
    <cellStyle name="Normal 71 10 6" xfId="5871"/>
    <cellStyle name="Normal 71 10 7" xfId="5872"/>
    <cellStyle name="Normal 71 10 8" xfId="5873"/>
    <cellStyle name="Normal 71 11" xfId="5874"/>
    <cellStyle name="Normal 71 11 2" xfId="5875"/>
    <cellStyle name="Normal 71 11 2 2" xfId="5876"/>
    <cellStyle name="Normal 71 11 2 3" xfId="5877"/>
    <cellStyle name="Normal 71 11 2 4" xfId="5878"/>
    <cellStyle name="Normal 71 11 2 5" xfId="5879"/>
    <cellStyle name="Normal 71 11 3" xfId="5880"/>
    <cellStyle name="Normal 71 11 3 2" xfId="5881"/>
    <cellStyle name="Normal 71 11 3 3" xfId="5882"/>
    <cellStyle name="Normal 71 11 3 4" xfId="5883"/>
    <cellStyle name="Normal 71 11 3 5" xfId="5884"/>
    <cellStyle name="Normal 71 11 4" xfId="5885"/>
    <cellStyle name="Normal 71 11 4 2" xfId="5886"/>
    <cellStyle name="Normal 71 11 4 3" xfId="5887"/>
    <cellStyle name="Normal 71 11 4 4" xfId="5888"/>
    <cellStyle name="Normal 71 11 4 5" xfId="5889"/>
    <cellStyle name="Normal 71 11 5" xfId="5890"/>
    <cellStyle name="Normal 71 11 6" xfId="5891"/>
    <cellStyle name="Normal 71 11 7" xfId="5892"/>
    <cellStyle name="Normal 71 11 8" xfId="5893"/>
    <cellStyle name="Normal 71 12" xfId="5894"/>
    <cellStyle name="Normal 71 12 2" xfId="5895"/>
    <cellStyle name="Normal 71 12 3" xfId="5896"/>
    <cellStyle name="Normal 71 12 4" xfId="5897"/>
    <cellStyle name="Normal 71 12 5" xfId="5898"/>
    <cellStyle name="Normal 71 13" xfId="5899"/>
    <cellStyle name="Normal 71 13 2" xfId="5900"/>
    <cellStyle name="Normal 71 13 3" xfId="5901"/>
    <cellStyle name="Normal 71 13 4" xfId="5902"/>
    <cellStyle name="Normal 71 13 5" xfId="5903"/>
    <cellStyle name="Normal 71 14" xfId="5904"/>
    <cellStyle name="Normal 71 14 2" xfId="5905"/>
    <cellStyle name="Normal 71 14 3" xfId="5906"/>
    <cellStyle name="Normal 71 14 4" xfId="5907"/>
    <cellStyle name="Normal 71 14 5" xfId="5908"/>
    <cellStyle name="Normal 71 15" xfId="5909"/>
    <cellStyle name="Normal 71 16" xfId="5910"/>
    <cellStyle name="Normal 71 17" xfId="5911"/>
    <cellStyle name="Normal 71 18" xfId="5912"/>
    <cellStyle name="Normal 71 2" xfId="5913"/>
    <cellStyle name="Normal 71 2 2" xfId="5914"/>
    <cellStyle name="Normal 71 2 2 2" xfId="5915"/>
    <cellStyle name="Normal 71 2 2 3" xfId="5916"/>
    <cellStyle name="Normal 71 2 2 4" xfId="5917"/>
    <cellStyle name="Normal 71 2 2 5" xfId="5918"/>
    <cellStyle name="Normal 71 2 3" xfId="5919"/>
    <cellStyle name="Normal 71 2 3 2" xfId="5920"/>
    <cellStyle name="Normal 71 2 3 3" xfId="5921"/>
    <cellStyle name="Normal 71 2 3 4" xfId="5922"/>
    <cellStyle name="Normal 71 2 3 5" xfId="5923"/>
    <cellStyle name="Normal 71 2 4" xfId="5924"/>
    <cellStyle name="Normal 71 2 4 2" xfId="5925"/>
    <cellStyle name="Normal 71 2 4 3" xfId="5926"/>
    <cellStyle name="Normal 71 2 4 4" xfId="5927"/>
    <cellStyle name="Normal 71 2 4 5" xfId="5928"/>
    <cellStyle name="Normal 71 2 5" xfId="5929"/>
    <cellStyle name="Normal 71 2 6" xfId="5930"/>
    <cellStyle name="Normal 71 2 7" xfId="5931"/>
    <cellStyle name="Normal 71 2 8" xfId="5932"/>
    <cellStyle name="Normal 71 3" xfId="5933"/>
    <cellStyle name="Normal 71 3 2" xfId="5934"/>
    <cellStyle name="Normal 71 3 2 2" xfId="5935"/>
    <cellStyle name="Normal 71 3 2 3" xfId="5936"/>
    <cellStyle name="Normal 71 3 2 4" xfId="5937"/>
    <cellStyle name="Normal 71 3 2 5" xfId="5938"/>
    <cellStyle name="Normal 71 3 3" xfId="5939"/>
    <cellStyle name="Normal 71 3 3 2" xfId="5940"/>
    <cellStyle name="Normal 71 3 3 3" xfId="5941"/>
    <cellStyle name="Normal 71 3 3 4" xfId="5942"/>
    <cellStyle name="Normal 71 3 3 5" xfId="5943"/>
    <cellStyle name="Normal 71 3 4" xfId="5944"/>
    <cellStyle name="Normal 71 3 4 2" xfId="5945"/>
    <cellStyle name="Normal 71 3 4 3" xfId="5946"/>
    <cellStyle name="Normal 71 3 4 4" xfId="5947"/>
    <cellStyle name="Normal 71 3 4 5" xfId="5948"/>
    <cellStyle name="Normal 71 3 5" xfId="5949"/>
    <cellStyle name="Normal 71 3 6" xfId="5950"/>
    <cellStyle name="Normal 71 3 7" xfId="5951"/>
    <cellStyle name="Normal 71 3 8" xfId="5952"/>
    <cellStyle name="Normal 71 4" xfId="5953"/>
    <cellStyle name="Normal 71 4 2" xfId="5954"/>
    <cellStyle name="Normal 71 4 2 2" xfId="5955"/>
    <cellStyle name="Normal 71 4 2 3" xfId="5956"/>
    <cellStyle name="Normal 71 4 2 4" xfId="5957"/>
    <cellStyle name="Normal 71 4 2 5" xfId="5958"/>
    <cellStyle name="Normal 71 4 3" xfId="5959"/>
    <cellStyle name="Normal 71 4 3 2" xfId="5960"/>
    <cellStyle name="Normal 71 4 3 3" xfId="5961"/>
    <cellStyle name="Normal 71 4 3 4" xfId="5962"/>
    <cellStyle name="Normal 71 4 3 5" xfId="5963"/>
    <cellStyle name="Normal 71 4 4" xfId="5964"/>
    <cellStyle name="Normal 71 4 4 2" xfId="5965"/>
    <cellStyle name="Normal 71 4 4 3" xfId="5966"/>
    <cellStyle name="Normal 71 4 4 4" xfId="5967"/>
    <cellStyle name="Normal 71 4 4 5" xfId="5968"/>
    <cellStyle name="Normal 71 4 5" xfId="5969"/>
    <cellStyle name="Normal 71 4 6" xfId="5970"/>
    <cellStyle name="Normal 71 4 7" xfId="5971"/>
    <cellStyle name="Normal 71 4 8" xfId="5972"/>
    <cellStyle name="Normal 71 5" xfId="5973"/>
    <cellStyle name="Normal 71 5 2" xfId="5974"/>
    <cellStyle name="Normal 71 5 2 2" xfId="5975"/>
    <cellStyle name="Normal 71 5 2 3" xfId="5976"/>
    <cellStyle name="Normal 71 5 2 4" xfId="5977"/>
    <cellStyle name="Normal 71 5 2 5" xfId="5978"/>
    <cellStyle name="Normal 71 5 3" xfId="5979"/>
    <cellStyle name="Normal 71 5 3 2" xfId="5980"/>
    <cellStyle name="Normal 71 5 3 3" xfId="5981"/>
    <cellStyle name="Normal 71 5 3 4" xfId="5982"/>
    <cellStyle name="Normal 71 5 3 5" xfId="5983"/>
    <cellStyle name="Normal 71 5 4" xfId="5984"/>
    <cellStyle name="Normal 71 5 4 2" xfId="5985"/>
    <cellStyle name="Normal 71 5 4 3" xfId="5986"/>
    <cellStyle name="Normal 71 5 4 4" xfId="5987"/>
    <cellStyle name="Normal 71 5 4 5" xfId="5988"/>
    <cellStyle name="Normal 71 5 5" xfId="5989"/>
    <cellStyle name="Normal 71 5 6" xfId="5990"/>
    <cellStyle name="Normal 71 5 7" xfId="5991"/>
    <cellStyle name="Normal 71 5 8" xfId="5992"/>
    <cellStyle name="Normal 71 6" xfId="5993"/>
    <cellStyle name="Normal 71 6 2" xfId="5994"/>
    <cellStyle name="Normal 71 6 2 2" xfId="5995"/>
    <cellStyle name="Normal 71 6 2 3" xfId="5996"/>
    <cellStyle name="Normal 71 6 2 4" xfId="5997"/>
    <cellStyle name="Normal 71 6 2 5" xfId="5998"/>
    <cellStyle name="Normal 71 6 3" xfId="5999"/>
    <cellStyle name="Normal 71 6 3 2" xfId="6000"/>
    <cellStyle name="Normal 71 6 3 3" xfId="6001"/>
    <cellStyle name="Normal 71 6 3 4" xfId="6002"/>
    <cellStyle name="Normal 71 6 3 5" xfId="6003"/>
    <cellStyle name="Normal 71 6 4" xfId="6004"/>
    <cellStyle name="Normal 71 6 4 2" xfId="6005"/>
    <cellStyle name="Normal 71 6 4 3" xfId="6006"/>
    <cellStyle name="Normal 71 6 4 4" xfId="6007"/>
    <cellStyle name="Normal 71 6 4 5" xfId="6008"/>
    <cellStyle name="Normal 71 6 5" xfId="6009"/>
    <cellStyle name="Normal 71 6 6" xfId="6010"/>
    <cellStyle name="Normal 71 6 7" xfId="6011"/>
    <cellStyle name="Normal 71 6 8" xfId="6012"/>
    <cellStyle name="Normal 71 7" xfId="6013"/>
    <cellStyle name="Normal 71 7 2" xfId="6014"/>
    <cellStyle name="Normal 71 7 2 2" xfId="6015"/>
    <cellStyle name="Normal 71 7 2 3" xfId="6016"/>
    <cellStyle name="Normal 71 7 2 4" xfId="6017"/>
    <cellStyle name="Normal 71 7 2 5" xfId="6018"/>
    <cellStyle name="Normal 71 7 3" xfId="6019"/>
    <cellStyle name="Normal 71 7 3 2" xfId="6020"/>
    <cellStyle name="Normal 71 7 3 3" xfId="6021"/>
    <cellStyle name="Normal 71 7 3 4" xfId="6022"/>
    <cellStyle name="Normal 71 7 3 5" xfId="6023"/>
    <cellStyle name="Normal 71 7 4" xfId="6024"/>
    <cellStyle name="Normal 71 7 4 2" xfId="6025"/>
    <cellStyle name="Normal 71 7 4 3" xfId="6026"/>
    <cellStyle name="Normal 71 7 4 4" xfId="6027"/>
    <cellStyle name="Normal 71 7 4 5" xfId="6028"/>
    <cellStyle name="Normal 71 7 5" xfId="6029"/>
    <cellStyle name="Normal 71 7 6" xfId="6030"/>
    <cellStyle name="Normal 71 7 7" xfId="6031"/>
    <cellStyle name="Normal 71 7 8" xfId="6032"/>
    <cellStyle name="Normal 71 8" xfId="6033"/>
    <cellStyle name="Normal 71 8 2" xfId="6034"/>
    <cellStyle name="Normal 71 8 2 2" xfId="6035"/>
    <cellStyle name="Normal 71 8 2 3" xfId="6036"/>
    <cellStyle name="Normal 71 8 2 4" xfId="6037"/>
    <cellStyle name="Normal 71 8 2 5" xfId="6038"/>
    <cellStyle name="Normal 71 8 3" xfId="6039"/>
    <cellStyle name="Normal 71 8 3 2" xfId="6040"/>
    <cellStyle name="Normal 71 8 3 3" xfId="6041"/>
    <cellStyle name="Normal 71 8 3 4" xfId="6042"/>
    <cellStyle name="Normal 71 8 3 5" xfId="6043"/>
    <cellStyle name="Normal 71 8 4" xfId="6044"/>
    <cellStyle name="Normal 71 8 4 2" xfId="6045"/>
    <cellStyle name="Normal 71 8 4 3" xfId="6046"/>
    <cellStyle name="Normal 71 8 4 4" xfId="6047"/>
    <cellStyle name="Normal 71 8 4 5" xfId="6048"/>
    <cellStyle name="Normal 71 8 5" xfId="6049"/>
    <cellStyle name="Normal 71 8 6" xfId="6050"/>
    <cellStyle name="Normal 71 8 7" xfId="6051"/>
    <cellStyle name="Normal 71 8 8" xfId="6052"/>
    <cellStyle name="Normal 71 9" xfId="6053"/>
    <cellStyle name="Normal 71 9 2" xfId="6054"/>
    <cellStyle name="Normal 71 9 2 2" xfId="6055"/>
    <cellStyle name="Normal 71 9 2 3" xfId="6056"/>
    <cellStyle name="Normal 71 9 2 4" xfId="6057"/>
    <cellStyle name="Normal 71 9 2 5" xfId="6058"/>
    <cellStyle name="Normal 71 9 3" xfId="6059"/>
    <cellStyle name="Normal 71 9 3 2" xfId="6060"/>
    <cellStyle name="Normal 71 9 3 3" xfId="6061"/>
    <cellStyle name="Normal 71 9 3 4" xfId="6062"/>
    <cellStyle name="Normal 71 9 3 5" xfId="6063"/>
    <cellStyle name="Normal 71 9 4" xfId="6064"/>
    <cellStyle name="Normal 71 9 4 2" xfId="6065"/>
    <cellStyle name="Normal 71 9 4 3" xfId="6066"/>
    <cellStyle name="Normal 71 9 4 4" xfId="6067"/>
    <cellStyle name="Normal 71 9 4 5" xfId="6068"/>
    <cellStyle name="Normal 71 9 5" xfId="6069"/>
    <cellStyle name="Normal 71 9 6" xfId="6070"/>
    <cellStyle name="Normal 71 9 7" xfId="6071"/>
    <cellStyle name="Normal 71 9 8" xfId="6072"/>
    <cellStyle name="Normal 72" xfId="6073"/>
    <cellStyle name="Normal 72 10" xfId="6074"/>
    <cellStyle name="Normal 72 10 2" xfId="6075"/>
    <cellStyle name="Normal 72 10 2 2" xfId="6076"/>
    <cellStyle name="Normal 72 10 2 3" xfId="6077"/>
    <cellStyle name="Normal 72 10 2 4" xfId="6078"/>
    <cellStyle name="Normal 72 10 2 5" xfId="6079"/>
    <cellStyle name="Normal 72 10 3" xfId="6080"/>
    <cellStyle name="Normal 72 10 3 2" xfId="6081"/>
    <cellStyle name="Normal 72 10 3 3" xfId="6082"/>
    <cellStyle name="Normal 72 10 3 4" xfId="6083"/>
    <cellStyle name="Normal 72 10 3 5" xfId="6084"/>
    <cellStyle name="Normal 72 10 4" xfId="6085"/>
    <cellStyle name="Normal 72 10 4 2" xfId="6086"/>
    <cellStyle name="Normal 72 10 4 3" xfId="6087"/>
    <cellStyle name="Normal 72 10 4 4" xfId="6088"/>
    <cellStyle name="Normal 72 10 4 5" xfId="6089"/>
    <cellStyle name="Normal 72 10 5" xfId="6090"/>
    <cellStyle name="Normal 72 10 6" xfId="6091"/>
    <cellStyle name="Normal 72 10 7" xfId="6092"/>
    <cellStyle name="Normal 72 10 8" xfId="6093"/>
    <cellStyle name="Normal 72 11" xfId="6094"/>
    <cellStyle name="Normal 72 11 2" xfId="6095"/>
    <cellStyle name="Normal 72 11 2 2" xfId="6096"/>
    <cellStyle name="Normal 72 11 2 3" xfId="6097"/>
    <cellStyle name="Normal 72 11 2 4" xfId="6098"/>
    <cellStyle name="Normal 72 11 2 5" xfId="6099"/>
    <cellStyle name="Normal 72 11 3" xfId="6100"/>
    <cellStyle name="Normal 72 11 3 2" xfId="6101"/>
    <cellStyle name="Normal 72 11 3 3" xfId="6102"/>
    <cellStyle name="Normal 72 11 3 4" xfId="6103"/>
    <cellStyle name="Normal 72 11 3 5" xfId="6104"/>
    <cellStyle name="Normal 72 11 4" xfId="6105"/>
    <cellStyle name="Normal 72 11 4 2" xfId="6106"/>
    <cellStyle name="Normal 72 11 4 3" xfId="6107"/>
    <cellStyle name="Normal 72 11 4 4" xfId="6108"/>
    <cellStyle name="Normal 72 11 4 5" xfId="6109"/>
    <cellStyle name="Normal 72 11 5" xfId="6110"/>
    <cellStyle name="Normal 72 11 6" xfId="6111"/>
    <cellStyle name="Normal 72 11 7" xfId="6112"/>
    <cellStyle name="Normal 72 11 8" xfId="6113"/>
    <cellStyle name="Normal 72 12" xfId="6114"/>
    <cellStyle name="Normal 72 12 2" xfId="6115"/>
    <cellStyle name="Normal 72 12 3" xfId="6116"/>
    <cellStyle name="Normal 72 12 4" xfId="6117"/>
    <cellStyle name="Normal 72 12 5" xfId="6118"/>
    <cellStyle name="Normal 72 13" xfId="6119"/>
    <cellStyle name="Normal 72 13 2" xfId="6120"/>
    <cellStyle name="Normal 72 13 3" xfId="6121"/>
    <cellStyle name="Normal 72 13 4" xfId="6122"/>
    <cellStyle name="Normal 72 13 5" xfId="6123"/>
    <cellStyle name="Normal 72 14" xfId="6124"/>
    <cellStyle name="Normal 72 14 2" xfId="6125"/>
    <cellStyle name="Normal 72 14 3" xfId="6126"/>
    <cellStyle name="Normal 72 14 4" xfId="6127"/>
    <cellStyle name="Normal 72 14 5" xfId="6128"/>
    <cellStyle name="Normal 72 15" xfId="6129"/>
    <cellStyle name="Normal 72 16" xfId="6130"/>
    <cellStyle name="Normal 72 17" xfId="6131"/>
    <cellStyle name="Normal 72 18" xfId="6132"/>
    <cellStyle name="Normal 72 2" xfId="6133"/>
    <cellStyle name="Normal 72 2 2" xfId="6134"/>
    <cellStyle name="Normal 72 2 2 2" xfId="6135"/>
    <cellStyle name="Normal 72 2 2 3" xfId="6136"/>
    <cellStyle name="Normal 72 2 2 4" xfId="6137"/>
    <cellStyle name="Normal 72 2 2 5" xfId="6138"/>
    <cellStyle name="Normal 72 2 3" xfId="6139"/>
    <cellStyle name="Normal 72 2 3 2" xfId="6140"/>
    <cellStyle name="Normal 72 2 3 3" xfId="6141"/>
    <cellStyle name="Normal 72 2 3 4" xfId="6142"/>
    <cellStyle name="Normal 72 2 3 5" xfId="6143"/>
    <cellStyle name="Normal 72 2 4" xfId="6144"/>
    <cellStyle name="Normal 72 2 4 2" xfId="6145"/>
    <cellStyle name="Normal 72 2 4 3" xfId="6146"/>
    <cellStyle name="Normal 72 2 4 4" xfId="6147"/>
    <cellStyle name="Normal 72 2 4 5" xfId="6148"/>
    <cellStyle name="Normal 72 2 5" xfId="6149"/>
    <cellStyle name="Normal 72 2 6" xfId="6150"/>
    <cellStyle name="Normal 72 2 7" xfId="6151"/>
    <cellStyle name="Normal 72 2 8" xfId="6152"/>
    <cellStyle name="Normal 72 3" xfId="6153"/>
    <cellStyle name="Normal 72 3 2" xfId="6154"/>
    <cellStyle name="Normal 72 3 2 2" xfId="6155"/>
    <cellStyle name="Normal 72 3 2 3" xfId="6156"/>
    <cellStyle name="Normal 72 3 2 4" xfId="6157"/>
    <cellStyle name="Normal 72 3 2 5" xfId="6158"/>
    <cellStyle name="Normal 72 3 3" xfId="6159"/>
    <cellStyle name="Normal 72 3 3 2" xfId="6160"/>
    <cellStyle name="Normal 72 3 3 3" xfId="6161"/>
    <cellStyle name="Normal 72 3 3 4" xfId="6162"/>
    <cellStyle name="Normal 72 3 3 5" xfId="6163"/>
    <cellStyle name="Normal 72 3 4" xfId="6164"/>
    <cellStyle name="Normal 72 3 4 2" xfId="6165"/>
    <cellStyle name="Normal 72 3 4 3" xfId="6166"/>
    <cellStyle name="Normal 72 3 4 4" xfId="6167"/>
    <cellStyle name="Normal 72 3 4 5" xfId="6168"/>
    <cellStyle name="Normal 72 3 5" xfId="6169"/>
    <cellStyle name="Normal 72 3 6" xfId="6170"/>
    <cellStyle name="Normal 72 3 7" xfId="6171"/>
    <cellStyle name="Normal 72 3 8" xfId="6172"/>
    <cellStyle name="Normal 72 4" xfId="6173"/>
    <cellStyle name="Normal 72 4 2" xfId="6174"/>
    <cellStyle name="Normal 72 4 2 2" xfId="6175"/>
    <cellStyle name="Normal 72 4 2 3" xfId="6176"/>
    <cellStyle name="Normal 72 4 2 4" xfId="6177"/>
    <cellStyle name="Normal 72 4 2 5" xfId="6178"/>
    <cellStyle name="Normal 72 4 3" xfId="6179"/>
    <cellStyle name="Normal 72 4 3 2" xfId="6180"/>
    <cellStyle name="Normal 72 4 3 3" xfId="6181"/>
    <cellStyle name="Normal 72 4 3 4" xfId="6182"/>
    <cellStyle name="Normal 72 4 3 5" xfId="6183"/>
    <cellStyle name="Normal 72 4 4" xfId="6184"/>
    <cellStyle name="Normal 72 4 4 2" xfId="6185"/>
    <cellStyle name="Normal 72 4 4 3" xfId="6186"/>
    <cellStyle name="Normal 72 4 4 4" xfId="6187"/>
    <cellStyle name="Normal 72 4 4 5" xfId="6188"/>
    <cellStyle name="Normal 72 4 5" xfId="6189"/>
    <cellStyle name="Normal 72 4 6" xfId="6190"/>
    <cellStyle name="Normal 72 4 7" xfId="6191"/>
    <cellStyle name="Normal 72 4 8" xfId="6192"/>
    <cellStyle name="Normal 72 5" xfId="6193"/>
    <cellStyle name="Normal 72 5 2" xfId="6194"/>
    <cellStyle name="Normal 72 5 2 2" xfId="6195"/>
    <cellStyle name="Normal 72 5 2 3" xfId="6196"/>
    <cellStyle name="Normal 72 5 2 4" xfId="6197"/>
    <cellStyle name="Normal 72 5 2 5" xfId="6198"/>
    <cellStyle name="Normal 72 5 3" xfId="6199"/>
    <cellStyle name="Normal 72 5 3 2" xfId="6200"/>
    <cellStyle name="Normal 72 5 3 3" xfId="6201"/>
    <cellStyle name="Normal 72 5 3 4" xfId="6202"/>
    <cellStyle name="Normal 72 5 3 5" xfId="6203"/>
    <cellStyle name="Normal 72 5 4" xfId="6204"/>
    <cellStyle name="Normal 72 5 4 2" xfId="6205"/>
    <cellStyle name="Normal 72 5 4 3" xfId="6206"/>
    <cellStyle name="Normal 72 5 4 4" xfId="6207"/>
    <cellStyle name="Normal 72 5 4 5" xfId="6208"/>
    <cellStyle name="Normal 72 5 5" xfId="6209"/>
    <cellStyle name="Normal 72 5 6" xfId="6210"/>
    <cellStyle name="Normal 72 5 7" xfId="6211"/>
    <cellStyle name="Normal 72 5 8" xfId="6212"/>
    <cellStyle name="Normal 72 6" xfId="6213"/>
    <cellStyle name="Normal 72 6 2" xfId="6214"/>
    <cellStyle name="Normal 72 6 2 2" xfId="6215"/>
    <cellStyle name="Normal 72 6 2 3" xfId="6216"/>
    <cellStyle name="Normal 72 6 2 4" xfId="6217"/>
    <cellStyle name="Normal 72 6 2 5" xfId="6218"/>
    <cellStyle name="Normal 72 6 3" xfId="6219"/>
    <cellStyle name="Normal 72 6 3 2" xfId="6220"/>
    <cellStyle name="Normal 72 6 3 3" xfId="6221"/>
    <cellStyle name="Normal 72 6 3 4" xfId="6222"/>
    <cellStyle name="Normal 72 6 3 5" xfId="6223"/>
    <cellStyle name="Normal 72 6 4" xfId="6224"/>
    <cellStyle name="Normal 72 6 4 2" xfId="6225"/>
    <cellStyle name="Normal 72 6 4 3" xfId="6226"/>
    <cellStyle name="Normal 72 6 4 4" xfId="6227"/>
    <cellStyle name="Normal 72 6 4 5" xfId="6228"/>
    <cellStyle name="Normal 72 6 5" xfId="6229"/>
    <cellStyle name="Normal 72 6 6" xfId="6230"/>
    <cellStyle name="Normal 72 6 7" xfId="6231"/>
    <cellStyle name="Normal 72 6 8" xfId="6232"/>
    <cellStyle name="Normal 72 7" xfId="6233"/>
    <cellStyle name="Normal 72 7 2" xfId="6234"/>
    <cellStyle name="Normal 72 7 2 2" xfId="6235"/>
    <cellStyle name="Normal 72 7 2 3" xfId="6236"/>
    <cellStyle name="Normal 72 7 2 4" xfId="6237"/>
    <cellStyle name="Normal 72 7 2 5" xfId="6238"/>
    <cellStyle name="Normal 72 7 3" xfId="6239"/>
    <cellStyle name="Normal 72 7 3 2" xfId="6240"/>
    <cellStyle name="Normal 72 7 3 3" xfId="6241"/>
    <cellStyle name="Normal 72 7 3 4" xfId="6242"/>
    <cellStyle name="Normal 72 7 3 5" xfId="6243"/>
    <cellStyle name="Normal 72 7 4" xfId="6244"/>
    <cellStyle name="Normal 72 7 4 2" xfId="6245"/>
    <cellStyle name="Normal 72 7 4 3" xfId="6246"/>
    <cellStyle name="Normal 72 7 4 4" xfId="6247"/>
    <cellStyle name="Normal 72 7 4 5" xfId="6248"/>
    <cellStyle name="Normal 72 7 5" xfId="6249"/>
    <cellStyle name="Normal 72 7 6" xfId="6250"/>
    <cellStyle name="Normal 72 7 7" xfId="6251"/>
    <cellStyle name="Normal 72 7 8" xfId="6252"/>
    <cellStyle name="Normal 72 8" xfId="6253"/>
    <cellStyle name="Normal 72 8 2" xfId="6254"/>
    <cellStyle name="Normal 72 8 2 2" xfId="6255"/>
    <cellStyle name="Normal 72 8 2 3" xfId="6256"/>
    <cellStyle name="Normal 72 8 2 4" xfId="6257"/>
    <cellStyle name="Normal 72 8 2 5" xfId="6258"/>
    <cellStyle name="Normal 72 8 3" xfId="6259"/>
    <cellStyle name="Normal 72 8 3 2" xfId="6260"/>
    <cellStyle name="Normal 72 8 3 3" xfId="6261"/>
    <cellStyle name="Normal 72 8 3 4" xfId="6262"/>
    <cellStyle name="Normal 72 8 3 5" xfId="6263"/>
    <cellStyle name="Normal 72 8 4" xfId="6264"/>
    <cellStyle name="Normal 72 8 4 2" xfId="6265"/>
    <cellStyle name="Normal 72 8 4 3" xfId="6266"/>
    <cellStyle name="Normal 72 8 4 4" xfId="6267"/>
    <cellStyle name="Normal 72 8 4 5" xfId="6268"/>
    <cellStyle name="Normal 72 8 5" xfId="6269"/>
    <cellStyle name="Normal 72 8 6" xfId="6270"/>
    <cellStyle name="Normal 72 8 7" xfId="6271"/>
    <cellStyle name="Normal 72 8 8" xfId="6272"/>
    <cellStyle name="Normal 72 9" xfId="6273"/>
    <cellStyle name="Normal 72 9 2" xfId="6274"/>
    <cellStyle name="Normal 72 9 2 2" xfId="6275"/>
    <cellStyle name="Normal 72 9 2 3" xfId="6276"/>
    <cellStyle name="Normal 72 9 2 4" xfId="6277"/>
    <cellStyle name="Normal 72 9 2 5" xfId="6278"/>
    <cellStyle name="Normal 72 9 3" xfId="6279"/>
    <cellStyle name="Normal 72 9 3 2" xfId="6280"/>
    <cellStyle name="Normal 72 9 3 3" xfId="6281"/>
    <cellStyle name="Normal 72 9 3 4" xfId="6282"/>
    <cellStyle name="Normal 72 9 3 5" xfId="6283"/>
    <cellStyle name="Normal 72 9 4" xfId="6284"/>
    <cellStyle name="Normal 72 9 4 2" xfId="6285"/>
    <cellStyle name="Normal 72 9 4 3" xfId="6286"/>
    <cellStyle name="Normal 72 9 4 4" xfId="6287"/>
    <cellStyle name="Normal 72 9 4 5" xfId="6288"/>
    <cellStyle name="Normal 72 9 5" xfId="6289"/>
    <cellStyle name="Normal 72 9 6" xfId="6290"/>
    <cellStyle name="Normal 72 9 7" xfId="6291"/>
    <cellStyle name="Normal 72 9 8" xfId="6292"/>
    <cellStyle name="Normal 73" xfId="6293"/>
    <cellStyle name="Normal 73 10" xfId="6294"/>
    <cellStyle name="Normal 73 10 2" xfId="6295"/>
    <cellStyle name="Normal 73 10 2 2" xfId="6296"/>
    <cellStyle name="Normal 73 10 2 3" xfId="6297"/>
    <cellStyle name="Normal 73 10 2 4" xfId="6298"/>
    <cellStyle name="Normal 73 10 2 5" xfId="6299"/>
    <cellStyle name="Normal 73 10 3" xfId="6300"/>
    <cellStyle name="Normal 73 10 3 2" xfId="6301"/>
    <cellStyle name="Normal 73 10 3 3" xfId="6302"/>
    <cellStyle name="Normal 73 10 3 4" xfId="6303"/>
    <cellStyle name="Normal 73 10 3 5" xfId="6304"/>
    <cellStyle name="Normal 73 10 4" xfId="6305"/>
    <cellStyle name="Normal 73 10 4 2" xfId="6306"/>
    <cellStyle name="Normal 73 10 4 3" xfId="6307"/>
    <cellStyle name="Normal 73 10 4 4" xfId="6308"/>
    <cellStyle name="Normal 73 10 4 5" xfId="6309"/>
    <cellStyle name="Normal 73 10 5" xfId="6310"/>
    <cellStyle name="Normal 73 10 6" xfId="6311"/>
    <cellStyle name="Normal 73 10 7" xfId="6312"/>
    <cellStyle name="Normal 73 10 8" xfId="6313"/>
    <cellStyle name="Normal 73 11" xfId="6314"/>
    <cellStyle name="Normal 73 11 2" xfId="6315"/>
    <cellStyle name="Normal 73 11 2 2" xfId="6316"/>
    <cellStyle name="Normal 73 11 2 3" xfId="6317"/>
    <cellStyle name="Normal 73 11 2 4" xfId="6318"/>
    <cellStyle name="Normal 73 11 2 5" xfId="6319"/>
    <cellStyle name="Normal 73 11 3" xfId="6320"/>
    <cellStyle name="Normal 73 11 3 2" xfId="6321"/>
    <cellStyle name="Normal 73 11 3 3" xfId="6322"/>
    <cellStyle name="Normal 73 11 3 4" xfId="6323"/>
    <cellStyle name="Normal 73 11 3 5" xfId="6324"/>
    <cellStyle name="Normal 73 11 4" xfId="6325"/>
    <cellStyle name="Normal 73 11 4 2" xfId="6326"/>
    <cellStyle name="Normal 73 11 4 3" xfId="6327"/>
    <cellStyle name="Normal 73 11 4 4" xfId="6328"/>
    <cellStyle name="Normal 73 11 4 5" xfId="6329"/>
    <cellStyle name="Normal 73 11 5" xfId="6330"/>
    <cellStyle name="Normal 73 11 6" xfId="6331"/>
    <cellStyle name="Normal 73 11 7" xfId="6332"/>
    <cellStyle name="Normal 73 11 8" xfId="6333"/>
    <cellStyle name="Normal 73 12" xfId="6334"/>
    <cellStyle name="Normal 73 12 2" xfId="6335"/>
    <cellStyle name="Normal 73 12 3" xfId="6336"/>
    <cellStyle name="Normal 73 12 4" xfId="6337"/>
    <cellStyle name="Normal 73 12 5" xfId="6338"/>
    <cellStyle name="Normal 73 13" xfId="6339"/>
    <cellStyle name="Normal 73 13 2" xfId="6340"/>
    <cellStyle name="Normal 73 13 3" xfId="6341"/>
    <cellStyle name="Normal 73 13 4" xfId="6342"/>
    <cellStyle name="Normal 73 13 5" xfId="6343"/>
    <cellStyle name="Normal 73 14" xfId="6344"/>
    <cellStyle name="Normal 73 14 2" xfId="6345"/>
    <cellStyle name="Normal 73 14 3" xfId="6346"/>
    <cellStyle name="Normal 73 14 4" xfId="6347"/>
    <cellStyle name="Normal 73 14 5" xfId="6348"/>
    <cellStyle name="Normal 73 15" xfId="6349"/>
    <cellStyle name="Normal 73 16" xfId="6350"/>
    <cellStyle name="Normal 73 17" xfId="6351"/>
    <cellStyle name="Normal 73 18" xfId="6352"/>
    <cellStyle name="Normal 73 2" xfId="6353"/>
    <cellStyle name="Normal 73 2 2" xfId="6354"/>
    <cellStyle name="Normal 73 2 2 2" xfId="6355"/>
    <cellStyle name="Normal 73 2 2 3" xfId="6356"/>
    <cellStyle name="Normal 73 2 2 4" xfId="6357"/>
    <cellStyle name="Normal 73 2 2 5" xfId="6358"/>
    <cellStyle name="Normal 73 2 3" xfId="6359"/>
    <cellStyle name="Normal 73 2 3 2" xfId="6360"/>
    <cellStyle name="Normal 73 2 3 3" xfId="6361"/>
    <cellStyle name="Normal 73 2 3 4" xfId="6362"/>
    <cellStyle name="Normal 73 2 3 5" xfId="6363"/>
    <cellStyle name="Normal 73 2 4" xfId="6364"/>
    <cellStyle name="Normal 73 2 4 2" xfId="6365"/>
    <cellStyle name="Normal 73 2 4 3" xfId="6366"/>
    <cellStyle name="Normal 73 2 4 4" xfId="6367"/>
    <cellStyle name="Normal 73 2 4 5" xfId="6368"/>
    <cellStyle name="Normal 73 2 5" xfId="6369"/>
    <cellStyle name="Normal 73 2 6" xfId="6370"/>
    <cellStyle name="Normal 73 2 7" xfId="6371"/>
    <cellStyle name="Normal 73 2 8" xfId="6372"/>
    <cellStyle name="Normal 73 3" xfId="6373"/>
    <cellStyle name="Normal 73 3 2" xfId="6374"/>
    <cellStyle name="Normal 73 3 2 2" xfId="6375"/>
    <cellStyle name="Normal 73 3 2 3" xfId="6376"/>
    <cellStyle name="Normal 73 3 2 4" xfId="6377"/>
    <cellStyle name="Normal 73 3 2 5" xfId="6378"/>
    <cellStyle name="Normal 73 3 3" xfId="6379"/>
    <cellStyle name="Normal 73 3 3 2" xfId="6380"/>
    <cellStyle name="Normal 73 3 3 3" xfId="6381"/>
    <cellStyle name="Normal 73 3 3 4" xfId="6382"/>
    <cellStyle name="Normal 73 3 3 5" xfId="6383"/>
    <cellStyle name="Normal 73 3 4" xfId="6384"/>
    <cellStyle name="Normal 73 3 4 2" xfId="6385"/>
    <cellStyle name="Normal 73 3 4 3" xfId="6386"/>
    <cellStyle name="Normal 73 3 4 4" xfId="6387"/>
    <cellStyle name="Normal 73 3 4 5" xfId="6388"/>
    <cellStyle name="Normal 73 3 5" xfId="6389"/>
    <cellStyle name="Normal 73 3 6" xfId="6390"/>
    <cellStyle name="Normal 73 3 7" xfId="6391"/>
    <cellStyle name="Normal 73 3 8" xfId="6392"/>
    <cellStyle name="Normal 73 4" xfId="6393"/>
    <cellStyle name="Normal 73 4 2" xfId="6394"/>
    <cellStyle name="Normal 73 4 2 2" xfId="6395"/>
    <cellStyle name="Normal 73 4 2 3" xfId="6396"/>
    <cellStyle name="Normal 73 4 2 4" xfId="6397"/>
    <cellStyle name="Normal 73 4 2 5" xfId="6398"/>
    <cellStyle name="Normal 73 4 3" xfId="6399"/>
    <cellStyle name="Normal 73 4 3 2" xfId="6400"/>
    <cellStyle name="Normal 73 4 3 3" xfId="6401"/>
    <cellStyle name="Normal 73 4 3 4" xfId="6402"/>
    <cellStyle name="Normal 73 4 3 5" xfId="6403"/>
    <cellStyle name="Normal 73 4 4" xfId="6404"/>
    <cellStyle name="Normal 73 4 4 2" xfId="6405"/>
    <cellStyle name="Normal 73 4 4 3" xfId="6406"/>
    <cellStyle name="Normal 73 4 4 4" xfId="6407"/>
    <cellStyle name="Normal 73 4 4 5" xfId="6408"/>
    <cellStyle name="Normal 73 4 5" xfId="6409"/>
    <cellStyle name="Normal 73 4 6" xfId="6410"/>
    <cellStyle name="Normal 73 4 7" xfId="6411"/>
    <cellStyle name="Normal 73 4 8" xfId="6412"/>
    <cellStyle name="Normal 73 5" xfId="6413"/>
    <cellStyle name="Normal 73 5 2" xfId="6414"/>
    <cellStyle name="Normal 73 5 2 2" xfId="6415"/>
    <cellStyle name="Normal 73 5 2 3" xfId="6416"/>
    <cellStyle name="Normal 73 5 2 4" xfId="6417"/>
    <cellStyle name="Normal 73 5 2 5" xfId="6418"/>
    <cellStyle name="Normal 73 5 3" xfId="6419"/>
    <cellStyle name="Normal 73 5 3 2" xfId="6420"/>
    <cellStyle name="Normal 73 5 3 3" xfId="6421"/>
    <cellStyle name="Normal 73 5 3 4" xfId="6422"/>
    <cellStyle name="Normal 73 5 3 5" xfId="6423"/>
    <cellStyle name="Normal 73 5 4" xfId="6424"/>
    <cellStyle name="Normal 73 5 4 2" xfId="6425"/>
    <cellStyle name="Normal 73 5 4 3" xfId="6426"/>
    <cellStyle name="Normal 73 5 4 4" xfId="6427"/>
    <cellStyle name="Normal 73 5 4 5" xfId="6428"/>
    <cellStyle name="Normal 73 5 5" xfId="6429"/>
    <cellStyle name="Normal 73 5 6" xfId="6430"/>
    <cellStyle name="Normal 73 5 7" xfId="6431"/>
    <cellStyle name="Normal 73 5 8" xfId="6432"/>
    <cellStyle name="Normal 73 6" xfId="6433"/>
    <cellStyle name="Normal 73 6 2" xfId="6434"/>
    <cellStyle name="Normal 73 6 2 2" xfId="6435"/>
    <cellStyle name="Normal 73 6 2 3" xfId="6436"/>
    <cellStyle name="Normal 73 6 2 4" xfId="6437"/>
    <cellStyle name="Normal 73 6 2 5" xfId="6438"/>
    <cellStyle name="Normal 73 6 3" xfId="6439"/>
    <cellStyle name="Normal 73 6 3 2" xfId="6440"/>
    <cellStyle name="Normal 73 6 3 3" xfId="6441"/>
    <cellStyle name="Normal 73 6 3 4" xfId="6442"/>
    <cellStyle name="Normal 73 6 3 5" xfId="6443"/>
    <cellStyle name="Normal 73 6 4" xfId="6444"/>
    <cellStyle name="Normal 73 6 4 2" xfId="6445"/>
    <cellStyle name="Normal 73 6 4 3" xfId="6446"/>
    <cellStyle name="Normal 73 6 4 4" xfId="6447"/>
    <cellStyle name="Normal 73 6 4 5" xfId="6448"/>
    <cellStyle name="Normal 73 6 5" xfId="6449"/>
    <cellStyle name="Normal 73 6 6" xfId="6450"/>
    <cellStyle name="Normal 73 6 7" xfId="6451"/>
    <cellStyle name="Normal 73 6 8" xfId="6452"/>
    <cellStyle name="Normal 73 7" xfId="6453"/>
    <cellStyle name="Normal 73 7 2" xfId="6454"/>
    <cellStyle name="Normal 73 7 2 2" xfId="6455"/>
    <cellStyle name="Normal 73 7 2 3" xfId="6456"/>
    <cellStyle name="Normal 73 7 2 4" xfId="6457"/>
    <cellStyle name="Normal 73 7 2 5" xfId="6458"/>
    <cellStyle name="Normal 73 7 3" xfId="6459"/>
    <cellStyle name="Normal 73 7 3 2" xfId="6460"/>
    <cellStyle name="Normal 73 7 3 3" xfId="6461"/>
    <cellStyle name="Normal 73 7 3 4" xfId="6462"/>
    <cellStyle name="Normal 73 7 3 5" xfId="6463"/>
    <cellStyle name="Normal 73 7 4" xfId="6464"/>
    <cellStyle name="Normal 73 7 4 2" xfId="6465"/>
    <cellStyle name="Normal 73 7 4 3" xfId="6466"/>
    <cellStyle name="Normal 73 7 4 4" xfId="6467"/>
    <cellStyle name="Normal 73 7 4 5" xfId="6468"/>
    <cellStyle name="Normal 73 7 5" xfId="6469"/>
    <cellStyle name="Normal 73 7 6" xfId="6470"/>
    <cellStyle name="Normal 73 7 7" xfId="6471"/>
    <cellStyle name="Normal 73 7 8" xfId="6472"/>
    <cellStyle name="Normal 73 8" xfId="6473"/>
    <cellStyle name="Normal 73 8 2" xfId="6474"/>
    <cellStyle name="Normal 73 8 2 2" xfId="6475"/>
    <cellStyle name="Normal 73 8 2 3" xfId="6476"/>
    <cellStyle name="Normal 73 8 2 4" xfId="6477"/>
    <cellStyle name="Normal 73 8 2 5" xfId="6478"/>
    <cellStyle name="Normal 73 8 3" xfId="6479"/>
    <cellStyle name="Normal 73 8 3 2" xfId="6480"/>
    <cellStyle name="Normal 73 8 3 3" xfId="6481"/>
    <cellStyle name="Normal 73 8 3 4" xfId="6482"/>
    <cellStyle name="Normal 73 8 3 5" xfId="6483"/>
    <cellStyle name="Normal 73 8 4" xfId="6484"/>
    <cellStyle name="Normal 73 8 4 2" xfId="6485"/>
    <cellStyle name="Normal 73 8 4 3" xfId="6486"/>
    <cellStyle name="Normal 73 8 4 4" xfId="6487"/>
    <cellStyle name="Normal 73 8 4 5" xfId="6488"/>
    <cellStyle name="Normal 73 8 5" xfId="6489"/>
    <cellStyle name="Normal 73 8 6" xfId="6490"/>
    <cellStyle name="Normal 73 8 7" xfId="6491"/>
    <cellStyle name="Normal 73 8 8" xfId="6492"/>
    <cellStyle name="Normal 73 9" xfId="6493"/>
    <cellStyle name="Normal 73 9 2" xfId="6494"/>
    <cellStyle name="Normal 73 9 2 2" xfId="6495"/>
    <cellStyle name="Normal 73 9 2 3" xfId="6496"/>
    <cellStyle name="Normal 73 9 2 4" xfId="6497"/>
    <cellStyle name="Normal 73 9 2 5" xfId="6498"/>
    <cellStyle name="Normal 73 9 3" xfId="6499"/>
    <cellStyle name="Normal 73 9 3 2" xfId="6500"/>
    <cellStyle name="Normal 73 9 3 3" xfId="6501"/>
    <cellStyle name="Normal 73 9 3 4" xfId="6502"/>
    <cellStyle name="Normal 73 9 3 5" xfId="6503"/>
    <cellStyle name="Normal 73 9 4" xfId="6504"/>
    <cellStyle name="Normal 73 9 4 2" xfId="6505"/>
    <cellStyle name="Normal 73 9 4 3" xfId="6506"/>
    <cellStyle name="Normal 73 9 4 4" xfId="6507"/>
    <cellStyle name="Normal 73 9 4 5" xfId="6508"/>
    <cellStyle name="Normal 73 9 5" xfId="6509"/>
    <cellStyle name="Normal 73 9 6" xfId="6510"/>
    <cellStyle name="Normal 73 9 7" xfId="6511"/>
    <cellStyle name="Normal 73 9 8" xfId="6512"/>
    <cellStyle name="Normal 74" xfId="6513"/>
    <cellStyle name="Normal 74 10" xfId="6514"/>
    <cellStyle name="Normal 74 10 2" xfId="6515"/>
    <cellStyle name="Normal 74 10 2 2" xfId="6516"/>
    <cellStyle name="Normal 74 10 2 3" xfId="6517"/>
    <cellStyle name="Normal 74 10 2 4" xfId="6518"/>
    <cellStyle name="Normal 74 10 2 5" xfId="6519"/>
    <cellStyle name="Normal 74 10 3" xfId="6520"/>
    <cellStyle name="Normal 74 10 3 2" xfId="6521"/>
    <cellStyle name="Normal 74 10 3 3" xfId="6522"/>
    <cellStyle name="Normal 74 10 3 4" xfId="6523"/>
    <cellStyle name="Normal 74 10 3 5" xfId="6524"/>
    <cellStyle name="Normal 74 10 4" xfId="6525"/>
    <cellStyle name="Normal 74 10 4 2" xfId="6526"/>
    <cellStyle name="Normal 74 10 4 3" xfId="6527"/>
    <cellStyle name="Normal 74 10 4 4" xfId="6528"/>
    <cellStyle name="Normal 74 10 4 5" xfId="6529"/>
    <cellStyle name="Normal 74 10 5" xfId="6530"/>
    <cellStyle name="Normal 74 10 6" xfId="6531"/>
    <cellStyle name="Normal 74 10 7" xfId="6532"/>
    <cellStyle name="Normal 74 10 8" xfId="6533"/>
    <cellStyle name="Normal 74 11" xfId="6534"/>
    <cellStyle name="Normal 74 11 2" xfId="6535"/>
    <cellStyle name="Normal 74 11 2 2" xfId="6536"/>
    <cellStyle name="Normal 74 11 2 3" xfId="6537"/>
    <cellStyle name="Normal 74 11 2 4" xfId="6538"/>
    <cellStyle name="Normal 74 11 2 5" xfId="6539"/>
    <cellStyle name="Normal 74 11 3" xfId="6540"/>
    <cellStyle name="Normal 74 11 3 2" xfId="6541"/>
    <cellStyle name="Normal 74 11 3 3" xfId="6542"/>
    <cellStyle name="Normal 74 11 3 4" xfId="6543"/>
    <cellStyle name="Normal 74 11 3 5" xfId="6544"/>
    <cellStyle name="Normal 74 11 4" xfId="6545"/>
    <cellStyle name="Normal 74 11 4 2" xfId="6546"/>
    <cellStyle name="Normal 74 11 4 3" xfId="6547"/>
    <cellStyle name="Normal 74 11 4 4" xfId="6548"/>
    <cellStyle name="Normal 74 11 4 5" xfId="6549"/>
    <cellStyle name="Normal 74 11 5" xfId="6550"/>
    <cellStyle name="Normal 74 11 6" xfId="6551"/>
    <cellStyle name="Normal 74 11 7" xfId="6552"/>
    <cellStyle name="Normal 74 11 8" xfId="6553"/>
    <cellStyle name="Normal 74 12" xfId="6554"/>
    <cellStyle name="Normal 74 12 2" xfId="6555"/>
    <cellStyle name="Normal 74 12 3" xfId="6556"/>
    <cellStyle name="Normal 74 12 4" xfId="6557"/>
    <cellStyle name="Normal 74 12 5" xfId="6558"/>
    <cellStyle name="Normal 74 13" xfId="6559"/>
    <cellStyle name="Normal 74 13 2" xfId="6560"/>
    <cellStyle name="Normal 74 13 3" xfId="6561"/>
    <cellStyle name="Normal 74 13 4" xfId="6562"/>
    <cellStyle name="Normal 74 13 5" xfId="6563"/>
    <cellStyle name="Normal 74 14" xfId="6564"/>
    <cellStyle name="Normal 74 14 2" xfId="6565"/>
    <cellStyle name="Normal 74 14 3" xfId="6566"/>
    <cellStyle name="Normal 74 14 4" xfId="6567"/>
    <cellStyle name="Normal 74 14 5" xfId="6568"/>
    <cellStyle name="Normal 74 15" xfId="6569"/>
    <cellStyle name="Normal 74 16" xfId="6570"/>
    <cellStyle name="Normal 74 17" xfId="6571"/>
    <cellStyle name="Normal 74 18" xfId="6572"/>
    <cellStyle name="Normal 74 2" xfId="6573"/>
    <cellStyle name="Normal 74 2 2" xfId="6574"/>
    <cellStyle name="Normal 74 2 2 2" xfId="6575"/>
    <cellStyle name="Normal 74 2 2 3" xfId="6576"/>
    <cellStyle name="Normal 74 2 2 4" xfId="6577"/>
    <cellStyle name="Normal 74 2 2 5" xfId="6578"/>
    <cellStyle name="Normal 74 2 3" xfId="6579"/>
    <cellStyle name="Normal 74 2 3 2" xfId="6580"/>
    <cellStyle name="Normal 74 2 3 3" xfId="6581"/>
    <cellStyle name="Normal 74 2 3 4" xfId="6582"/>
    <cellStyle name="Normal 74 2 3 5" xfId="6583"/>
    <cellStyle name="Normal 74 2 4" xfId="6584"/>
    <cellStyle name="Normal 74 2 4 2" xfId="6585"/>
    <cellStyle name="Normal 74 2 4 3" xfId="6586"/>
    <cellStyle name="Normal 74 2 4 4" xfId="6587"/>
    <cellStyle name="Normal 74 2 4 5" xfId="6588"/>
    <cellStyle name="Normal 74 2 5" xfId="6589"/>
    <cellStyle name="Normal 74 2 6" xfId="6590"/>
    <cellStyle name="Normal 74 2 7" xfId="6591"/>
    <cellStyle name="Normal 74 2 8" xfId="6592"/>
    <cellStyle name="Normal 74 3" xfId="6593"/>
    <cellStyle name="Normal 74 3 2" xfId="6594"/>
    <cellStyle name="Normal 74 3 2 2" xfId="6595"/>
    <cellStyle name="Normal 74 3 2 3" xfId="6596"/>
    <cellStyle name="Normal 74 3 2 4" xfId="6597"/>
    <cellStyle name="Normal 74 3 2 5" xfId="6598"/>
    <cellStyle name="Normal 74 3 3" xfId="6599"/>
    <cellStyle name="Normal 74 3 3 2" xfId="6600"/>
    <cellStyle name="Normal 74 3 3 3" xfId="6601"/>
    <cellStyle name="Normal 74 3 3 4" xfId="6602"/>
    <cellStyle name="Normal 74 3 3 5" xfId="6603"/>
    <cellStyle name="Normal 74 3 4" xfId="6604"/>
    <cellStyle name="Normal 74 3 4 2" xfId="6605"/>
    <cellStyle name="Normal 74 3 4 3" xfId="6606"/>
    <cellStyle name="Normal 74 3 4 4" xfId="6607"/>
    <cellStyle name="Normal 74 3 4 5" xfId="6608"/>
    <cellStyle name="Normal 74 3 5" xfId="6609"/>
    <cellStyle name="Normal 74 3 6" xfId="6610"/>
    <cellStyle name="Normal 74 3 7" xfId="6611"/>
    <cellStyle name="Normal 74 3 8" xfId="6612"/>
    <cellStyle name="Normal 74 4" xfId="6613"/>
    <cellStyle name="Normal 74 4 2" xfId="6614"/>
    <cellStyle name="Normal 74 4 2 2" xfId="6615"/>
    <cellStyle name="Normal 74 4 2 3" xfId="6616"/>
    <cellStyle name="Normal 74 4 2 4" xfId="6617"/>
    <cellStyle name="Normal 74 4 2 5" xfId="6618"/>
    <cellStyle name="Normal 74 4 3" xfId="6619"/>
    <cellStyle name="Normal 74 4 3 2" xfId="6620"/>
    <cellStyle name="Normal 74 4 3 3" xfId="6621"/>
    <cellStyle name="Normal 74 4 3 4" xfId="6622"/>
    <cellStyle name="Normal 74 4 3 5" xfId="6623"/>
    <cellStyle name="Normal 74 4 4" xfId="6624"/>
    <cellStyle name="Normal 74 4 4 2" xfId="6625"/>
    <cellStyle name="Normal 74 4 4 3" xfId="6626"/>
    <cellStyle name="Normal 74 4 4 4" xfId="6627"/>
    <cellStyle name="Normal 74 4 4 5" xfId="6628"/>
    <cellStyle name="Normal 74 4 5" xfId="6629"/>
    <cellStyle name="Normal 74 4 6" xfId="6630"/>
    <cellStyle name="Normal 74 4 7" xfId="6631"/>
    <cellStyle name="Normal 74 4 8" xfId="6632"/>
    <cellStyle name="Normal 74 5" xfId="6633"/>
    <cellStyle name="Normal 74 5 2" xfId="6634"/>
    <cellStyle name="Normal 74 5 2 2" xfId="6635"/>
    <cellStyle name="Normal 74 5 2 3" xfId="6636"/>
    <cellStyle name="Normal 74 5 2 4" xfId="6637"/>
    <cellStyle name="Normal 74 5 2 5" xfId="6638"/>
    <cellStyle name="Normal 74 5 3" xfId="6639"/>
    <cellStyle name="Normal 74 5 3 2" xfId="6640"/>
    <cellStyle name="Normal 74 5 3 3" xfId="6641"/>
    <cellStyle name="Normal 74 5 3 4" xfId="6642"/>
    <cellStyle name="Normal 74 5 3 5" xfId="6643"/>
    <cellStyle name="Normal 74 5 4" xfId="6644"/>
    <cellStyle name="Normal 74 5 4 2" xfId="6645"/>
    <cellStyle name="Normal 74 5 4 3" xfId="6646"/>
    <cellStyle name="Normal 74 5 4 4" xfId="6647"/>
    <cellStyle name="Normal 74 5 4 5" xfId="6648"/>
    <cellStyle name="Normal 74 5 5" xfId="6649"/>
    <cellStyle name="Normal 74 5 6" xfId="6650"/>
    <cellStyle name="Normal 74 5 7" xfId="6651"/>
    <cellStyle name="Normal 74 5 8" xfId="6652"/>
    <cellStyle name="Normal 74 6" xfId="6653"/>
    <cellStyle name="Normal 74 6 2" xfId="6654"/>
    <cellStyle name="Normal 74 6 2 2" xfId="6655"/>
    <cellStyle name="Normal 74 6 2 3" xfId="6656"/>
    <cellStyle name="Normal 74 6 2 4" xfId="6657"/>
    <cellStyle name="Normal 74 6 2 5" xfId="6658"/>
    <cellStyle name="Normal 74 6 3" xfId="6659"/>
    <cellStyle name="Normal 74 6 3 2" xfId="6660"/>
    <cellStyle name="Normal 74 6 3 3" xfId="6661"/>
    <cellStyle name="Normal 74 6 3 4" xfId="6662"/>
    <cellStyle name="Normal 74 6 3 5" xfId="6663"/>
    <cellStyle name="Normal 74 6 4" xfId="6664"/>
    <cellStyle name="Normal 74 6 4 2" xfId="6665"/>
    <cellStyle name="Normal 74 6 4 3" xfId="6666"/>
    <cellStyle name="Normal 74 6 4 4" xfId="6667"/>
    <cellStyle name="Normal 74 6 4 5" xfId="6668"/>
    <cellStyle name="Normal 74 6 5" xfId="6669"/>
    <cellStyle name="Normal 74 6 6" xfId="6670"/>
    <cellStyle name="Normal 74 6 7" xfId="6671"/>
    <cellStyle name="Normal 74 6 8" xfId="6672"/>
    <cellStyle name="Normal 74 7" xfId="6673"/>
    <cellStyle name="Normal 74 7 2" xfId="6674"/>
    <cellStyle name="Normal 74 7 2 2" xfId="6675"/>
    <cellStyle name="Normal 74 7 2 3" xfId="6676"/>
    <cellStyle name="Normal 74 7 2 4" xfId="6677"/>
    <cellStyle name="Normal 74 7 2 5" xfId="6678"/>
    <cellStyle name="Normal 74 7 3" xfId="6679"/>
    <cellStyle name="Normal 74 7 3 2" xfId="6680"/>
    <cellStyle name="Normal 74 7 3 3" xfId="6681"/>
    <cellStyle name="Normal 74 7 3 4" xfId="6682"/>
    <cellStyle name="Normal 74 7 3 5" xfId="6683"/>
    <cellStyle name="Normal 74 7 4" xfId="6684"/>
    <cellStyle name="Normal 74 7 4 2" xfId="6685"/>
    <cellStyle name="Normal 74 7 4 3" xfId="6686"/>
    <cellStyle name="Normal 74 7 4 4" xfId="6687"/>
    <cellStyle name="Normal 74 7 4 5" xfId="6688"/>
    <cellStyle name="Normal 74 7 5" xfId="6689"/>
    <cellStyle name="Normal 74 7 6" xfId="6690"/>
    <cellStyle name="Normal 74 7 7" xfId="6691"/>
    <cellStyle name="Normal 74 7 8" xfId="6692"/>
    <cellStyle name="Normal 74 8" xfId="6693"/>
    <cellStyle name="Normal 74 8 2" xfId="6694"/>
    <cellStyle name="Normal 74 8 2 2" xfId="6695"/>
    <cellStyle name="Normal 74 8 2 3" xfId="6696"/>
    <cellStyle name="Normal 74 8 2 4" xfId="6697"/>
    <cellStyle name="Normal 74 8 2 5" xfId="6698"/>
    <cellStyle name="Normal 74 8 3" xfId="6699"/>
    <cellStyle name="Normal 74 8 3 2" xfId="6700"/>
    <cellStyle name="Normal 74 8 3 3" xfId="6701"/>
    <cellStyle name="Normal 74 8 3 4" xfId="6702"/>
    <cellStyle name="Normal 74 8 3 5" xfId="6703"/>
    <cellStyle name="Normal 74 8 4" xfId="6704"/>
    <cellStyle name="Normal 74 8 4 2" xfId="6705"/>
    <cellStyle name="Normal 74 8 4 3" xfId="6706"/>
    <cellStyle name="Normal 74 8 4 4" xfId="6707"/>
    <cellStyle name="Normal 74 8 4 5" xfId="6708"/>
    <cellStyle name="Normal 74 8 5" xfId="6709"/>
    <cellStyle name="Normal 74 8 6" xfId="6710"/>
    <cellStyle name="Normal 74 8 7" xfId="6711"/>
    <cellStyle name="Normal 74 8 8" xfId="6712"/>
    <cellStyle name="Normal 74 9" xfId="6713"/>
    <cellStyle name="Normal 74 9 2" xfId="6714"/>
    <cellStyle name="Normal 74 9 2 2" xfId="6715"/>
    <cellStyle name="Normal 74 9 2 3" xfId="6716"/>
    <cellStyle name="Normal 74 9 2 4" xfId="6717"/>
    <cellStyle name="Normal 74 9 2 5" xfId="6718"/>
    <cellStyle name="Normal 74 9 3" xfId="6719"/>
    <cellStyle name="Normal 74 9 3 2" xfId="6720"/>
    <cellStyle name="Normal 74 9 3 3" xfId="6721"/>
    <cellStyle name="Normal 74 9 3 4" xfId="6722"/>
    <cellStyle name="Normal 74 9 3 5" xfId="6723"/>
    <cellStyle name="Normal 74 9 4" xfId="6724"/>
    <cellStyle name="Normal 74 9 4 2" xfId="6725"/>
    <cellStyle name="Normal 74 9 4 3" xfId="6726"/>
    <cellStyle name="Normal 74 9 4 4" xfId="6727"/>
    <cellStyle name="Normal 74 9 4 5" xfId="6728"/>
    <cellStyle name="Normal 74 9 5" xfId="6729"/>
    <cellStyle name="Normal 74 9 6" xfId="6730"/>
    <cellStyle name="Normal 74 9 7" xfId="6731"/>
    <cellStyle name="Normal 74 9 8" xfId="6732"/>
    <cellStyle name="Normal 75" xfId="6733"/>
    <cellStyle name="Normal 75 10" xfId="6734"/>
    <cellStyle name="Normal 75 10 2" xfId="6735"/>
    <cellStyle name="Normal 75 10 2 2" xfId="6736"/>
    <cellStyle name="Normal 75 10 2 3" xfId="6737"/>
    <cellStyle name="Normal 75 10 2 4" xfId="6738"/>
    <cellStyle name="Normal 75 10 2 5" xfId="6739"/>
    <cellStyle name="Normal 75 10 3" xfId="6740"/>
    <cellStyle name="Normal 75 10 3 2" xfId="6741"/>
    <cellStyle name="Normal 75 10 3 3" xfId="6742"/>
    <cellStyle name="Normal 75 10 3 4" xfId="6743"/>
    <cellStyle name="Normal 75 10 3 5" xfId="6744"/>
    <cellStyle name="Normal 75 10 4" xfId="6745"/>
    <cellStyle name="Normal 75 10 4 2" xfId="6746"/>
    <cellStyle name="Normal 75 10 4 3" xfId="6747"/>
    <cellStyle name="Normal 75 10 4 4" xfId="6748"/>
    <cellStyle name="Normal 75 10 4 5" xfId="6749"/>
    <cellStyle name="Normal 75 10 5" xfId="6750"/>
    <cellStyle name="Normal 75 10 6" xfId="6751"/>
    <cellStyle name="Normal 75 10 7" xfId="6752"/>
    <cellStyle name="Normal 75 10 8" xfId="6753"/>
    <cellStyle name="Normal 75 11" xfId="6754"/>
    <cellStyle name="Normal 75 11 2" xfId="6755"/>
    <cellStyle name="Normal 75 11 2 2" xfId="6756"/>
    <cellStyle name="Normal 75 11 2 3" xfId="6757"/>
    <cellStyle name="Normal 75 11 2 4" xfId="6758"/>
    <cellStyle name="Normal 75 11 2 5" xfId="6759"/>
    <cellStyle name="Normal 75 11 3" xfId="6760"/>
    <cellStyle name="Normal 75 11 3 2" xfId="6761"/>
    <cellStyle name="Normal 75 11 3 3" xfId="6762"/>
    <cellStyle name="Normal 75 11 3 4" xfId="6763"/>
    <cellStyle name="Normal 75 11 3 5" xfId="6764"/>
    <cellStyle name="Normal 75 11 4" xfId="6765"/>
    <cellStyle name="Normal 75 11 4 2" xfId="6766"/>
    <cellStyle name="Normal 75 11 4 3" xfId="6767"/>
    <cellStyle name="Normal 75 11 4 4" xfId="6768"/>
    <cellStyle name="Normal 75 11 4 5" xfId="6769"/>
    <cellStyle name="Normal 75 11 5" xfId="6770"/>
    <cellStyle name="Normal 75 11 6" xfId="6771"/>
    <cellStyle name="Normal 75 11 7" xfId="6772"/>
    <cellStyle name="Normal 75 11 8" xfId="6773"/>
    <cellStyle name="Normal 75 12" xfId="6774"/>
    <cellStyle name="Normal 75 12 2" xfId="6775"/>
    <cellStyle name="Normal 75 12 3" xfId="6776"/>
    <cellStyle name="Normal 75 12 4" xfId="6777"/>
    <cellStyle name="Normal 75 12 5" xfId="6778"/>
    <cellStyle name="Normal 75 13" xfId="6779"/>
    <cellStyle name="Normal 75 13 2" xfId="6780"/>
    <cellStyle name="Normal 75 13 3" xfId="6781"/>
    <cellStyle name="Normal 75 13 4" xfId="6782"/>
    <cellStyle name="Normal 75 13 5" xfId="6783"/>
    <cellStyle name="Normal 75 14" xfId="6784"/>
    <cellStyle name="Normal 75 14 2" xfId="6785"/>
    <cellStyle name="Normal 75 14 3" xfId="6786"/>
    <cellStyle name="Normal 75 14 4" xfId="6787"/>
    <cellStyle name="Normal 75 14 5" xfId="6788"/>
    <cellStyle name="Normal 75 15" xfId="6789"/>
    <cellStyle name="Normal 75 16" xfId="6790"/>
    <cellStyle name="Normal 75 17" xfId="6791"/>
    <cellStyle name="Normal 75 18" xfId="6792"/>
    <cellStyle name="Normal 75 2" xfId="6793"/>
    <cellStyle name="Normal 75 2 2" xfId="6794"/>
    <cellStyle name="Normal 75 2 2 2" xfId="6795"/>
    <cellStyle name="Normal 75 2 2 3" xfId="6796"/>
    <cellStyle name="Normal 75 2 2 4" xfId="6797"/>
    <cellStyle name="Normal 75 2 2 5" xfId="6798"/>
    <cellStyle name="Normal 75 2 3" xfId="6799"/>
    <cellStyle name="Normal 75 2 3 2" xfId="6800"/>
    <cellStyle name="Normal 75 2 3 3" xfId="6801"/>
    <cellStyle name="Normal 75 2 3 4" xfId="6802"/>
    <cellStyle name="Normal 75 2 3 5" xfId="6803"/>
    <cellStyle name="Normal 75 2 4" xfId="6804"/>
    <cellStyle name="Normal 75 2 4 2" xfId="6805"/>
    <cellStyle name="Normal 75 2 4 3" xfId="6806"/>
    <cellStyle name="Normal 75 2 4 4" xfId="6807"/>
    <cellStyle name="Normal 75 2 4 5" xfId="6808"/>
    <cellStyle name="Normal 75 2 5" xfId="6809"/>
    <cellStyle name="Normal 75 2 6" xfId="6810"/>
    <cellStyle name="Normal 75 2 7" xfId="6811"/>
    <cellStyle name="Normal 75 2 8" xfId="6812"/>
    <cellStyle name="Normal 75 3" xfId="6813"/>
    <cellStyle name="Normal 75 3 2" xfId="6814"/>
    <cellStyle name="Normal 75 3 2 2" xfId="6815"/>
    <cellStyle name="Normal 75 3 2 3" xfId="6816"/>
    <cellStyle name="Normal 75 3 2 4" xfId="6817"/>
    <cellStyle name="Normal 75 3 2 5" xfId="6818"/>
    <cellStyle name="Normal 75 3 3" xfId="6819"/>
    <cellStyle name="Normal 75 3 3 2" xfId="6820"/>
    <cellStyle name="Normal 75 3 3 3" xfId="6821"/>
    <cellStyle name="Normal 75 3 3 4" xfId="6822"/>
    <cellStyle name="Normal 75 3 3 5" xfId="6823"/>
    <cellStyle name="Normal 75 3 4" xfId="6824"/>
    <cellStyle name="Normal 75 3 4 2" xfId="6825"/>
    <cellStyle name="Normal 75 3 4 3" xfId="6826"/>
    <cellStyle name="Normal 75 3 4 4" xfId="6827"/>
    <cellStyle name="Normal 75 3 4 5" xfId="6828"/>
    <cellStyle name="Normal 75 3 5" xfId="6829"/>
    <cellStyle name="Normal 75 3 6" xfId="6830"/>
    <cellStyle name="Normal 75 3 7" xfId="6831"/>
    <cellStyle name="Normal 75 3 8" xfId="6832"/>
    <cellStyle name="Normal 75 4" xfId="6833"/>
    <cellStyle name="Normal 75 4 2" xfId="6834"/>
    <cellStyle name="Normal 75 4 2 2" xfId="6835"/>
    <cellStyle name="Normal 75 4 2 3" xfId="6836"/>
    <cellStyle name="Normal 75 4 2 4" xfId="6837"/>
    <cellStyle name="Normal 75 4 2 5" xfId="6838"/>
    <cellStyle name="Normal 75 4 3" xfId="6839"/>
    <cellStyle name="Normal 75 4 3 2" xfId="6840"/>
    <cellStyle name="Normal 75 4 3 3" xfId="6841"/>
    <cellStyle name="Normal 75 4 3 4" xfId="6842"/>
    <cellStyle name="Normal 75 4 3 5" xfId="6843"/>
    <cellStyle name="Normal 75 4 4" xfId="6844"/>
    <cellStyle name="Normal 75 4 4 2" xfId="6845"/>
    <cellStyle name="Normal 75 4 4 3" xfId="6846"/>
    <cellStyle name="Normal 75 4 4 4" xfId="6847"/>
    <cellStyle name="Normal 75 4 4 5" xfId="6848"/>
    <cellStyle name="Normal 75 4 5" xfId="6849"/>
    <cellStyle name="Normal 75 4 6" xfId="6850"/>
    <cellStyle name="Normal 75 4 7" xfId="6851"/>
    <cellStyle name="Normal 75 4 8" xfId="6852"/>
    <cellStyle name="Normal 75 5" xfId="6853"/>
    <cellStyle name="Normal 75 5 2" xfId="6854"/>
    <cellStyle name="Normal 75 5 2 2" xfId="6855"/>
    <cellStyle name="Normal 75 5 2 3" xfId="6856"/>
    <cellStyle name="Normal 75 5 2 4" xfId="6857"/>
    <cellStyle name="Normal 75 5 2 5" xfId="6858"/>
    <cellStyle name="Normal 75 5 3" xfId="6859"/>
    <cellStyle name="Normal 75 5 3 2" xfId="6860"/>
    <cellStyle name="Normal 75 5 3 3" xfId="6861"/>
    <cellStyle name="Normal 75 5 3 4" xfId="6862"/>
    <cellStyle name="Normal 75 5 3 5" xfId="6863"/>
    <cellStyle name="Normal 75 5 4" xfId="6864"/>
    <cellStyle name="Normal 75 5 4 2" xfId="6865"/>
    <cellStyle name="Normal 75 5 4 3" xfId="6866"/>
    <cellStyle name="Normal 75 5 4 4" xfId="6867"/>
    <cellStyle name="Normal 75 5 4 5" xfId="6868"/>
    <cellStyle name="Normal 75 5 5" xfId="6869"/>
    <cellStyle name="Normal 75 5 6" xfId="6870"/>
    <cellStyle name="Normal 75 5 7" xfId="6871"/>
    <cellStyle name="Normal 75 5 8" xfId="6872"/>
    <cellStyle name="Normal 75 6" xfId="6873"/>
    <cellStyle name="Normal 75 6 2" xfId="6874"/>
    <cellStyle name="Normal 75 6 2 2" xfId="6875"/>
    <cellStyle name="Normal 75 6 2 3" xfId="6876"/>
    <cellStyle name="Normal 75 6 2 4" xfId="6877"/>
    <cellStyle name="Normal 75 6 2 5" xfId="6878"/>
    <cellStyle name="Normal 75 6 3" xfId="6879"/>
    <cellStyle name="Normal 75 6 3 2" xfId="6880"/>
    <cellStyle name="Normal 75 6 3 3" xfId="6881"/>
    <cellStyle name="Normal 75 6 3 4" xfId="6882"/>
    <cellStyle name="Normal 75 6 3 5" xfId="6883"/>
    <cellStyle name="Normal 75 6 4" xfId="6884"/>
    <cellStyle name="Normal 75 6 4 2" xfId="6885"/>
    <cellStyle name="Normal 75 6 4 3" xfId="6886"/>
    <cellStyle name="Normal 75 6 4 4" xfId="6887"/>
    <cellStyle name="Normal 75 6 4 5" xfId="6888"/>
    <cellStyle name="Normal 75 6 5" xfId="6889"/>
    <cellStyle name="Normal 75 6 6" xfId="6890"/>
    <cellStyle name="Normal 75 6 7" xfId="6891"/>
    <cellStyle name="Normal 75 6 8" xfId="6892"/>
    <cellStyle name="Normal 75 7" xfId="6893"/>
    <cellStyle name="Normal 75 7 2" xfId="6894"/>
    <cellStyle name="Normal 75 7 2 2" xfId="6895"/>
    <cellStyle name="Normal 75 7 2 3" xfId="6896"/>
    <cellStyle name="Normal 75 7 2 4" xfId="6897"/>
    <cellStyle name="Normal 75 7 2 5" xfId="6898"/>
    <cellStyle name="Normal 75 7 3" xfId="6899"/>
    <cellStyle name="Normal 75 7 3 2" xfId="6900"/>
    <cellStyle name="Normal 75 7 3 3" xfId="6901"/>
    <cellStyle name="Normal 75 7 3 4" xfId="6902"/>
    <cellStyle name="Normal 75 7 3 5" xfId="6903"/>
    <cellStyle name="Normal 75 7 4" xfId="6904"/>
    <cellStyle name="Normal 75 7 4 2" xfId="6905"/>
    <cellStyle name="Normal 75 7 4 3" xfId="6906"/>
    <cellStyle name="Normal 75 7 4 4" xfId="6907"/>
    <cellStyle name="Normal 75 7 4 5" xfId="6908"/>
    <cellStyle name="Normal 75 7 5" xfId="6909"/>
    <cellStyle name="Normal 75 7 6" xfId="6910"/>
    <cellStyle name="Normal 75 7 7" xfId="6911"/>
    <cellStyle name="Normal 75 7 8" xfId="6912"/>
    <cellStyle name="Normal 75 8" xfId="6913"/>
    <cellStyle name="Normal 75 8 2" xfId="6914"/>
    <cellStyle name="Normal 75 8 2 2" xfId="6915"/>
    <cellStyle name="Normal 75 8 2 3" xfId="6916"/>
    <cellStyle name="Normal 75 8 2 4" xfId="6917"/>
    <cellStyle name="Normal 75 8 2 5" xfId="6918"/>
    <cellStyle name="Normal 75 8 3" xfId="6919"/>
    <cellStyle name="Normal 75 8 3 2" xfId="6920"/>
    <cellStyle name="Normal 75 8 3 3" xfId="6921"/>
    <cellStyle name="Normal 75 8 3 4" xfId="6922"/>
    <cellStyle name="Normal 75 8 3 5" xfId="6923"/>
    <cellStyle name="Normal 75 8 4" xfId="6924"/>
    <cellStyle name="Normal 75 8 4 2" xfId="6925"/>
    <cellStyle name="Normal 75 8 4 3" xfId="6926"/>
    <cellStyle name="Normal 75 8 4 4" xfId="6927"/>
    <cellStyle name="Normal 75 8 4 5" xfId="6928"/>
    <cellStyle name="Normal 75 8 5" xfId="6929"/>
    <cellStyle name="Normal 75 8 6" xfId="6930"/>
    <cellStyle name="Normal 75 8 7" xfId="6931"/>
    <cellStyle name="Normal 75 8 8" xfId="6932"/>
    <cellStyle name="Normal 75 9" xfId="6933"/>
    <cellStyle name="Normal 75 9 2" xfId="6934"/>
    <cellStyle name="Normal 75 9 2 2" xfId="6935"/>
    <cellStyle name="Normal 75 9 2 3" xfId="6936"/>
    <cellStyle name="Normal 75 9 2 4" xfId="6937"/>
    <cellStyle name="Normal 75 9 2 5" xfId="6938"/>
    <cellStyle name="Normal 75 9 3" xfId="6939"/>
    <cellStyle name="Normal 75 9 3 2" xfId="6940"/>
    <cellStyle name="Normal 75 9 3 3" xfId="6941"/>
    <cellStyle name="Normal 75 9 3 4" xfId="6942"/>
    <cellStyle name="Normal 75 9 3 5" xfId="6943"/>
    <cellStyle name="Normal 75 9 4" xfId="6944"/>
    <cellStyle name="Normal 75 9 4 2" xfId="6945"/>
    <cellStyle name="Normal 75 9 4 3" xfId="6946"/>
    <cellStyle name="Normal 75 9 4 4" xfId="6947"/>
    <cellStyle name="Normal 75 9 4 5" xfId="6948"/>
    <cellStyle name="Normal 75 9 5" xfId="6949"/>
    <cellStyle name="Normal 75 9 6" xfId="6950"/>
    <cellStyle name="Normal 75 9 7" xfId="6951"/>
    <cellStyle name="Normal 75 9 8" xfId="6952"/>
    <cellStyle name="Normal 76" xfId="6953"/>
    <cellStyle name="Normal 76 10" xfId="6954"/>
    <cellStyle name="Normal 76 10 2" xfId="6955"/>
    <cellStyle name="Normal 76 10 2 2" xfId="6956"/>
    <cellStyle name="Normal 76 10 2 3" xfId="6957"/>
    <cellStyle name="Normal 76 10 2 4" xfId="6958"/>
    <cellStyle name="Normal 76 10 2 5" xfId="6959"/>
    <cellStyle name="Normal 76 10 3" xfId="6960"/>
    <cellStyle name="Normal 76 10 3 2" xfId="6961"/>
    <cellStyle name="Normal 76 10 3 3" xfId="6962"/>
    <cellStyle name="Normal 76 10 3 4" xfId="6963"/>
    <cellStyle name="Normal 76 10 3 5" xfId="6964"/>
    <cellStyle name="Normal 76 10 4" xfId="6965"/>
    <cellStyle name="Normal 76 10 4 2" xfId="6966"/>
    <cellStyle name="Normal 76 10 4 3" xfId="6967"/>
    <cellStyle name="Normal 76 10 4 4" xfId="6968"/>
    <cellStyle name="Normal 76 10 4 5" xfId="6969"/>
    <cellStyle name="Normal 76 10 5" xfId="6970"/>
    <cellStyle name="Normal 76 10 6" xfId="6971"/>
    <cellStyle name="Normal 76 10 7" xfId="6972"/>
    <cellStyle name="Normal 76 10 8" xfId="6973"/>
    <cellStyle name="Normal 76 11" xfId="6974"/>
    <cellStyle name="Normal 76 11 2" xfId="6975"/>
    <cellStyle name="Normal 76 11 2 2" xfId="6976"/>
    <cellStyle name="Normal 76 11 2 3" xfId="6977"/>
    <cellStyle name="Normal 76 11 2 4" xfId="6978"/>
    <cellStyle name="Normal 76 11 2 5" xfId="6979"/>
    <cellStyle name="Normal 76 11 3" xfId="6980"/>
    <cellStyle name="Normal 76 11 3 2" xfId="6981"/>
    <cellStyle name="Normal 76 11 3 3" xfId="6982"/>
    <cellStyle name="Normal 76 11 3 4" xfId="6983"/>
    <cellStyle name="Normal 76 11 3 5" xfId="6984"/>
    <cellStyle name="Normal 76 11 4" xfId="6985"/>
    <cellStyle name="Normal 76 11 4 2" xfId="6986"/>
    <cellStyle name="Normal 76 11 4 3" xfId="6987"/>
    <cellStyle name="Normal 76 11 4 4" xfId="6988"/>
    <cellStyle name="Normal 76 11 4 5" xfId="6989"/>
    <cellStyle name="Normal 76 11 5" xfId="6990"/>
    <cellStyle name="Normal 76 11 6" xfId="6991"/>
    <cellStyle name="Normal 76 11 7" xfId="6992"/>
    <cellStyle name="Normal 76 11 8" xfId="6993"/>
    <cellStyle name="Normal 76 12" xfId="6994"/>
    <cellStyle name="Normal 76 12 2" xfId="6995"/>
    <cellStyle name="Normal 76 12 3" xfId="6996"/>
    <cellStyle name="Normal 76 12 4" xfId="6997"/>
    <cellStyle name="Normal 76 12 5" xfId="6998"/>
    <cellStyle name="Normal 76 13" xfId="6999"/>
    <cellStyle name="Normal 76 13 2" xfId="7000"/>
    <cellStyle name="Normal 76 13 3" xfId="7001"/>
    <cellStyle name="Normal 76 13 4" xfId="7002"/>
    <cellStyle name="Normal 76 13 5" xfId="7003"/>
    <cellStyle name="Normal 76 14" xfId="7004"/>
    <cellStyle name="Normal 76 14 2" xfId="7005"/>
    <cellStyle name="Normal 76 14 3" xfId="7006"/>
    <cellStyle name="Normal 76 14 4" xfId="7007"/>
    <cellStyle name="Normal 76 14 5" xfId="7008"/>
    <cellStyle name="Normal 76 15" xfId="7009"/>
    <cellStyle name="Normal 76 16" xfId="7010"/>
    <cellStyle name="Normal 76 17" xfId="7011"/>
    <cellStyle name="Normal 76 18" xfId="7012"/>
    <cellStyle name="Normal 76 2" xfId="7013"/>
    <cellStyle name="Normal 76 2 2" xfId="7014"/>
    <cellStyle name="Normal 76 2 2 2" xfId="7015"/>
    <cellStyle name="Normal 76 2 2 3" xfId="7016"/>
    <cellStyle name="Normal 76 2 2 4" xfId="7017"/>
    <cellStyle name="Normal 76 2 2 5" xfId="7018"/>
    <cellStyle name="Normal 76 2 3" xfId="7019"/>
    <cellStyle name="Normal 76 2 3 2" xfId="7020"/>
    <cellStyle name="Normal 76 2 3 3" xfId="7021"/>
    <cellStyle name="Normal 76 2 3 4" xfId="7022"/>
    <cellStyle name="Normal 76 2 3 5" xfId="7023"/>
    <cellStyle name="Normal 76 2 4" xfId="7024"/>
    <cellStyle name="Normal 76 2 4 2" xfId="7025"/>
    <cellStyle name="Normal 76 2 4 3" xfId="7026"/>
    <cellStyle name="Normal 76 2 4 4" xfId="7027"/>
    <cellStyle name="Normal 76 2 4 5" xfId="7028"/>
    <cellStyle name="Normal 76 2 5" xfId="7029"/>
    <cellStyle name="Normal 76 2 6" xfId="7030"/>
    <cellStyle name="Normal 76 2 7" xfId="7031"/>
    <cellStyle name="Normal 76 2 8" xfId="7032"/>
    <cellStyle name="Normal 76 3" xfId="7033"/>
    <cellStyle name="Normal 76 3 2" xfId="7034"/>
    <cellStyle name="Normal 76 3 2 2" xfId="7035"/>
    <cellStyle name="Normal 76 3 2 3" xfId="7036"/>
    <cellStyle name="Normal 76 3 2 4" xfId="7037"/>
    <cellStyle name="Normal 76 3 2 5" xfId="7038"/>
    <cellStyle name="Normal 76 3 3" xfId="7039"/>
    <cellStyle name="Normal 76 3 3 2" xfId="7040"/>
    <cellStyle name="Normal 76 3 3 3" xfId="7041"/>
    <cellStyle name="Normal 76 3 3 4" xfId="7042"/>
    <cellStyle name="Normal 76 3 3 5" xfId="7043"/>
    <cellStyle name="Normal 76 3 4" xfId="7044"/>
    <cellStyle name="Normal 76 3 4 2" xfId="7045"/>
    <cellStyle name="Normal 76 3 4 3" xfId="7046"/>
    <cellStyle name="Normal 76 3 4 4" xfId="7047"/>
    <cellStyle name="Normal 76 3 4 5" xfId="7048"/>
    <cellStyle name="Normal 76 3 5" xfId="7049"/>
    <cellStyle name="Normal 76 3 6" xfId="7050"/>
    <cellStyle name="Normal 76 3 7" xfId="7051"/>
    <cellStyle name="Normal 76 3 8" xfId="7052"/>
    <cellStyle name="Normal 76 4" xfId="7053"/>
    <cellStyle name="Normal 76 4 2" xfId="7054"/>
    <cellStyle name="Normal 76 4 2 2" xfId="7055"/>
    <cellStyle name="Normal 76 4 2 3" xfId="7056"/>
    <cellStyle name="Normal 76 4 2 4" xfId="7057"/>
    <cellStyle name="Normal 76 4 2 5" xfId="7058"/>
    <cellStyle name="Normal 76 4 3" xfId="7059"/>
    <cellStyle name="Normal 76 4 3 2" xfId="7060"/>
    <cellStyle name="Normal 76 4 3 3" xfId="7061"/>
    <cellStyle name="Normal 76 4 3 4" xfId="7062"/>
    <cellStyle name="Normal 76 4 3 5" xfId="7063"/>
    <cellStyle name="Normal 76 4 4" xfId="7064"/>
    <cellStyle name="Normal 76 4 4 2" xfId="7065"/>
    <cellStyle name="Normal 76 4 4 3" xfId="7066"/>
    <cellStyle name="Normal 76 4 4 4" xfId="7067"/>
    <cellStyle name="Normal 76 4 4 5" xfId="7068"/>
    <cellStyle name="Normal 76 4 5" xfId="7069"/>
    <cellStyle name="Normal 76 4 6" xfId="7070"/>
    <cellStyle name="Normal 76 4 7" xfId="7071"/>
    <cellStyle name="Normal 76 4 8" xfId="7072"/>
    <cellStyle name="Normal 76 5" xfId="7073"/>
    <cellStyle name="Normal 76 5 2" xfId="7074"/>
    <cellStyle name="Normal 76 5 2 2" xfId="7075"/>
    <cellStyle name="Normal 76 5 2 3" xfId="7076"/>
    <cellStyle name="Normal 76 5 2 4" xfId="7077"/>
    <cellStyle name="Normal 76 5 2 5" xfId="7078"/>
    <cellStyle name="Normal 76 5 3" xfId="7079"/>
    <cellStyle name="Normal 76 5 3 2" xfId="7080"/>
    <cellStyle name="Normal 76 5 3 3" xfId="7081"/>
    <cellStyle name="Normal 76 5 3 4" xfId="7082"/>
    <cellStyle name="Normal 76 5 3 5" xfId="7083"/>
    <cellStyle name="Normal 76 5 4" xfId="7084"/>
    <cellStyle name="Normal 76 5 4 2" xfId="7085"/>
    <cellStyle name="Normal 76 5 4 3" xfId="7086"/>
    <cellStyle name="Normal 76 5 4 4" xfId="7087"/>
    <cellStyle name="Normal 76 5 4 5" xfId="7088"/>
    <cellStyle name="Normal 76 5 5" xfId="7089"/>
    <cellStyle name="Normal 76 5 6" xfId="7090"/>
    <cellStyle name="Normal 76 5 7" xfId="7091"/>
    <cellStyle name="Normal 76 5 8" xfId="7092"/>
    <cellStyle name="Normal 76 6" xfId="7093"/>
    <cellStyle name="Normal 76 6 2" xfId="7094"/>
    <cellStyle name="Normal 76 6 2 2" xfId="7095"/>
    <cellStyle name="Normal 76 6 2 3" xfId="7096"/>
    <cellStyle name="Normal 76 6 2 4" xfId="7097"/>
    <cellStyle name="Normal 76 6 2 5" xfId="7098"/>
    <cellStyle name="Normal 76 6 3" xfId="7099"/>
    <cellStyle name="Normal 76 6 3 2" xfId="7100"/>
    <cellStyle name="Normal 76 6 3 3" xfId="7101"/>
    <cellStyle name="Normal 76 6 3 4" xfId="7102"/>
    <cellStyle name="Normal 76 6 3 5" xfId="7103"/>
    <cellStyle name="Normal 76 6 4" xfId="7104"/>
    <cellStyle name="Normal 76 6 4 2" xfId="7105"/>
    <cellStyle name="Normal 76 6 4 3" xfId="7106"/>
    <cellStyle name="Normal 76 6 4 4" xfId="7107"/>
    <cellStyle name="Normal 76 6 4 5" xfId="7108"/>
    <cellStyle name="Normal 76 6 5" xfId="7109"/>
    <cellStyle name="Normal 76 6 6" xfId="7110"/>
    <cellStyle name="Normal 76 6 7" xfId="7111"/>
    <cellStyle name="Normal 76 6 8" xfId="7112"/>
    <cellStyle name="Normal 76 7" xfId="7113"/>
    <cellStyle name="Normal 76 7 2" xfId="7114"/>
    <cellStyle name="Normal 76 7 2 2" xfId="7115"/>
    <cellStyle name="Normal 76 7 2 3" xfId="7116"/>
    <cellStyle name="Normal 76 7 2 4" xfId="7117"/>
    <cellStyle name="Normal 76 7 2 5" xfId="7118"/>
    <cellStyle name="Normal 76 7 3" xfId="7119"/>
    <cellStyle name="Normal 76 7 3 2" xfId="7120"/>
    <cellStyle name="Normal 76 7 3 3" xfId="7121"/>
    <cellStyle name="Normal 76 7 3 4" xfId="7122"/>
    <cellStyle name="Normal 76 7 3 5" xfId="7123"/>
    <cellStyle name="Normal 76 7 4" xfId="7124"/>
    <cellStyle name="Normal 76 7 4 2" xfId="7125"/>
    <cellStyle name="Normal 76 7 4 3" xfId="7126"/>
    <cellStyle name="Normal 76 7 4 4" xfId="7127"/>
    <cellStyle name="Normal 76 7 4 5" xfId="7128"/>
    <cellStyle name="Normal 76 7 5" xfId="7129"/>
    <cellStyle name="Normal 76 7 6" xfId="7130"/>
    <cellStyle name="Normal 76 7 7" xfId="7131"/>
    <cellStyle name="Normal 76 7 8" xfId="7132"/>
    <cellStyle name="Normal 76 8" xfId="7133"/>
    <cellStyle name="Normal 76 8 2" xfId="7134"/>
    <cellStyle name="Normal 76 8 2 2" xfId="7135"/>
    <cellStyle name="Normal 76 8 2 3" xfId="7136"/>
    <cellStyle name="Normal 76 8 2 4" xfId="7137"/>
    <cellStyle name="Normal 76 8 2 5" xfId="7138"/>
    <cellStyle name="Normal 76 8 3" xfId="7139"/>
    <cellStyle name="Normal 76 8 3 2" xfId="7140"/>
    <cellStyle name="Normal 76 8 3 3" xfId="7141"/>
    <cellStyle name="Normal 76 8 3 4" xfId="7142"/>
    <cellStyle name="Normal 76 8 3 5" xfId="7143"/>
    <cellStyle name="Normal 76 8 4" xfId="7144"/>
    <cellStyle name="Normal 76 8 4 2" xfId="7145"/>
    <cellStyle name="Normal 76 8 4 3" xfId="7146"/>
    <cellStyle name="Normal 76 8 4 4" xfId="7147"/>
    <cellStyle name="Normal 76 8 4 5" xfId="7148"/>
    <cellStyle name="Normal 76 8 5" xfId="7149"/>
    <cellStyle name="Normal 76 8 6" xfId="7150"/>
    <cellStyle name="Normal 76 8 7" xfId="7151"/>
    <cellStyle name="Normal 76 8 8" xfId="7152"/>
    <cellStyle name="Normal 76 9" xfId="7153"/>
    <cellStyle name="Normal 76 9 2" xfId="7154"/>
    <cellStyle name="Normal 76 9 2 2" xfId="7155"/>
    <cellStyle name="Normal 76 9 2 3" xfId="7156"/>
    <cellStyle name="Normal 76 9 2 4" xfId="7157"/>
    <cellStyle name="Normal 76 9 2 5" xfId="7158"/>
    <cellStyle name="Normal 76 9 3" xfId="7159"/>
    <cellStyle name="Normal 76 9 3 2" xfId="7160"/>
    <cellStyle name="Normal 76 9 3 3" xfId="7161"/>
    <cellStyle name="Normal 76 9 3 4" xfId="7162"/>
    <cellStyle name="Normal 76 9 3 5" xfId="7163"/>
    <cellStyle name="Normal 76 9 4" xfId="7164"/>
    <cellStyle name="Normal 76 9 4 2" xfId="7165"/>
    <cellStyle name="Normal 76 9 4 3" xfId="7166"/>
    <cellStyle name="Normal 76 9 4 4" xfId="7167"/>
    <cellStyle name="Normal 76 9 4 5" xfId="7168"/>
    <cellStyle name="Normal 76 9 5" xfId="7169"/>
    <cellStyle name="Normal 76 9 6" xfId="7170"/>
    <cellStyle name="Normal 76 9 7" xfId="7171"/>
    <cellStyle name="Normal 76 9 8" xfId="7172"/>
    <cellStyle name="Normal 77" xfId="7173"/>
    <cellStyle name="Normal 77 10" xfId="7174"/>
    <cellStyle name="Normal 77 11" xfId="7175"/>
    <cellStyle name="Normal 77 12" xfId="7176"/>
    <cellStyle name="Normal 77 13" xfId="7177"/>
    <cellStyle name="Normal 77 14" xfId="7178"/>
    <cellStyle name="Normal 77 15" xfId="7179"/>
    <cellStyle name="Normal 77 16" xfId="7180"/>
    <cellStyle name="Normal 77 17" xfId="7181"/>
    <cellStyle name="Normal 77 2" xfId="7182"/>
    <cellStyle name="Normal 77 3" xfId="7183"/>
    <cellStyle name="Normal 77 4" xfId="7184"/>
    <cellStyle name="Normal 77 5" xfId="7185"/>
    <cellStyle name="Normal 77 6" xfId="7186"/>
    <cellStyle name="Normal 77 7" xfId="7187"/>
    <cellStyle name="Normal 77 8" xfId="7188"/>
    <cellStyle name="Normal 77 9" xfId="7189"/>
    <cellStyle name="Normal 78" xfId="7190"/>
    <cellStyle name="Normal 78 10" xfId="7191"/>
    <cellStyle name="Normal 78 10 2" xfId="7192"/>
    <cellStyle name="Normal 78 10 2 2" xfId="7193"/>
    <cellStyle name="Normal 78 10 2 3" xfId="7194"/>
    <cellStyle name="Normal 78 10 2 4" xfId="7195"/>
    <cellStyle name="Normal 78 10 2 5" xfId="7196"/>
    <cellStyle name="Normal 78 10 3" xfId="7197"/>
    <cellStyle name="Normal 78 10 3 2" xfId="7198"/>
    <cellStyle name="Normal 78 10 3 3" xfId="7199"/>
    <cellStyle name="Normal 78 10 3 4" xfId="7200"/>
    <cellStyle name="Normal 78 10 3 5" xfId="7201"/>
    <cellStyle name="Normal 78 10 4" xfId="7202"/>
    <cellStyle name="Normal 78 10 4 2" xfId="7203"/>
    <cellStyle name="Normal 78 10 4 3" xfId="7204"/>
    <cellStyle name="Normal 78 10 4 4" xfId="7205"/>
    <cellStyle name="Normal 78 10 4 5" xfId="7206"/>
    <cellStyle name="Normal 78 10 5" xfId="7207"/>
    <cellStyle name="Normal 78 10 6" xfId="7208"/>
    <cellStyle name="Normal 78 10 7" xfId="7209"/>
    <cellStyle name="Normal 78 10 8" xfId="7210"/>
    <cellStyle name="Normal 78 11" xfId="7211"/>
    <cellStyle name="Normal 78 11 2" xfId="7212"/>
    <cellStyle name="Normal 78 11 2 2" xfId="7213"/>
    <cellStyle name="Normal 78 11 2 3" xfId="7214"/>
    <cellStyle name="Normal 78 11 2 4" xfId="7215"/>
    <cellStyle name="Normal 78 11 2 5" xfId="7216"/>
    <cellStyle name="Normal 78 11 3" xfId="7217"/>
    <cellStyle name="Normal 78 11 3 2" xfId="7218"/>
    <cellStyle name="Normal 78 11 3 3" xfId="7219"/>
    <cellStyle name="Normal 78 11 3 4" xfId="7220"/>
    <cellStyle name="Normal 78 11 3 5" xfId="7221"/>
    <cellStyle name="Normal 78 11 4" xfId="7222"/>
    <cellStyle name="Normal 78 11 4 2" xfId="7223"/>
    <cellStyle name="Normal 78 11 4 3" xfId="7224"/>
    <cellStyle name="Normal 78 11 4 4" xfId="7225"/>
    <cellStyle name="Normal 78 11 4 5" xfId="7226"/>
    <cellStyle name="Normal 78 11 5" xfId="7227"/>
    <cellStyle name="Normal 78 11 6" xfId="7228"/>
    <cellStyle name="Normal 78 11 7" xfId="7229"/>
    <cellStyle name="Normal 78 11 8" xfId="7230"/>
    <cellStyle name="Normal 78 12" xfId="7231"/>
    <cellStyle name="Normal 78 12 2" xfId="7232"/>
    <cellStyle name="Normal 78 12 3" xfId="7233"/>
    <cellStyle name="Normal 78 12 4" xfId="7234"/>
    <cellStyle name="Normal 78 12 5" xfId="7235"/>
    <cellStyle name="Normal 78 13" xfId="7236"/>
    <cellStyle name="Normal 78 13 2" xfId="7237"/>
    <cellStyle name="Normal 78 13 3" xfId="7238"/>
    <cellStyle name="Normal 78 13 4" xfId="7239"/>
    <cellStyle name="Normal 78 13 5" xfId="7240"/>
    <cellStyle name="Normal 78 14" xfId="7241"/>
    <cellStyle name="Normal 78 14 2" xfId="7242"/>
    <cellStyle name="Normal 78 14 3" xfId="7243"/>
    <cellStyle name="Normal 78 14 4" xfId="7244"/>
    <cellStyle name="Normal 78 14 5" xfId="7245"/>
    <cellStyle name="Normal 78 15" xfId="7246"/>
    <cellStyle name="Normal 78 16" xfId="7247"/>
    <cellStyle name="Normal 78 17" xfId="7248"/>
    <cellStyle name="Normal 78 18" xfId="7249"/>
    <cellStyle name="Normal 78 2" xfId="7250"/>
    <cellStyle name="Normal 78 2 2" xfId="7251"/>
    <cellStyle name="Normal 78 2 2 2" xfId="7252"/>
    <cellStyle name="Normal 78 2 2 3" xfId="7253"/>
    <cellStyle name="Normal 78 2 2 4" xfId="7254"/>
    <cellStyle name="Normal 78 2 2 5" xfId="7255"/>
    <cellStyle name="Normal 78 2 3" xfId="7256"/>
    <cellStyle name="Normal 78 2 3 2" xfId="7257"/>
    <cellStyle name="Normal 78 2 3 3" xfId="7258"/>
    <cellStyle name="Normal 78 2 3 4" xfId="7259"/>
    <cellStyle name="Normal 78 2 3 5" xfId="7260"/>
    <cellStyle name="Normal 78 2 4" xfId="7261"/>
    <cellStyle name="Normal 78 2 4 2" xfId="7262"/>
    <cellStyle name="Normal 78 2 4 3" xfId="7263"/>
    <cellStyle name="Normal 78 2 4 4" xfId="7264"/>
    <cellStyle name="Normal 78 2 4 5" xfId="7265"/>
    <cellStyle name="Normal 78 2 5" xfId="7266"/>
    <cellStyle name="Normal 78 2 6" xfId="7267"/>
    <cellStyle name="Normal 78 2 7" xfId="7268"/>
    <cellStyle name="Normal 78 2 8" xfId="7269"/>
    <cellStyle name="Normal 78 3" xfId="7270"/>
    <cellStyle name="Normal 78 3 2" xfId="7271"/>
    <cellStyle name="Normal 78 3 2 2" xfId="7272"/>
    <cellStyle name="Normal 78 3 2 3" xfId="7273"/>
    <cellStyle name="Normal 78 3 2 4" xfId="7274"/>
    <cellStyle name="Normal 78 3 2 5" xfId="7275"/>
    <cellStyle name="Normal 78 3 3" xfId="7276"/>
    <cellStyle name="Normal 78 3 3 2" xfId="7277"/>
    <cellStyle name="Normal 78 3 3 3" xfId="7278"/>
    <cellStyle name="Normal 78 3 3 4" xfId="7279"/>
    <cellStyle name="Normal 78 3 3 5" xfId="7280"/>
    <cellStyle name="Normal 78 3 4" xfId="7281"/>
    <cellStyle name="Normal 78 3 4 2" xfId="7282"/>
    <cellStyle name="Normal 78 3 4 3" xfId="7283"/>
    <cellStyle name="Normal 78 3 4 4" xfId="7284"/>
    <cellStyle name="Normal 78 3 4 5" xfId="7285"/>
    <cellStyle name="Normal 78 3 5" xfId="7286"/>
    <cellStyle name="Normal 78 3 6" xfId="7287"/>
    <cellStyle name="Normal 78 3 7" xfId="7288"/>
    <cellStyle name="Normal 78 3 8" xfId="7289"/>
    <cellStyle name="Normal 78 4" xfId="7290"/>
    <cellStyle name="Normal 78 4 2" xfId="7291"/>
    <cellStyle name="Normal 78 4 2 2" xfId="7292"/>
    <cellStyle name="Normal 78 4 2 3" xfId="7293"/>
    <cellStyle name="Normal 78 4 2 4" xfId="7294"/>
    <cellStyle name="Normal 78 4 2 5" xfId="7295"/>
    <cellStyle name="Normal 78 4 3" xfId="7296"/>
    <cellStyle name="Normal 78 4 3 2" xfId="7297"/>
    <cellStyle name="Normal 78 4 3 3" xfId="7298"/>
    <cellStyle name="Normal 78 4 3 4" xfId="7299"/>
    <cellStyle name="Normal 78 4 3 5" xfId="7300"/>
    <cellStyle name="Normal 78 4 4" xfId="7301"/>
    <cellStyle name="Normal 78 4 4 2" xfId="7302"/>
    <cellStyle name="Normal 78 4 4 3" xfId="7303"/>
    <cellStyle name="Normal 78 4 4 4" xfId="7304"/>
    <cellStyle name="Normal 78 4 4 5" xfId="7305"/>
    <cellStyle name="Normal 78 4 5" xfId="7306"/>
    <cellStyle name="Normal 78 4 6" xfId="7307"/>
    <cellStyle name="Normal 78 4 7" xfId="7308"/>
    <cellStyle name="Normal 78 4 8" xfId="7309"/>
    <cellStyle name="Normal 78 5" xfId="7310"/>
    <cellStyle name="Normal 78 5 2" xfId="7311"/>
    <cellStyle name="Normal 78 5 2 2" xfId="7312"/>
    <cellStyle name="Normal 78 5 2 3" xfId="7313"/>
    <cellStyle name="Normal 78 5 2 4" xfId="7314"/>
    <cellStyle name="Normal 78 5 2 5" xfId="7315"/>
    <cellStyle name="Normal 78 5 3" xfId="7316"/>
    <cellStyle name="Normal 78 5 3 2" xfId="7317"/>
    <cellStyle name="Normal 78 5 3 3" xfId="7318"/>
    <cellStyle name="Normal 78 5 3 4" xfId="7319"/>
    <cellStyle name="Normal 78 5 3 5" xfId="7320"/>
    <cellStyle name="Normal 78 5 4" xfId="7321"/>
    <cellStyle name="Normal 78 5 4 2" xfId="7322"/>
    <cellStyle name="Normal 78 5 4 3" xfId="7323"/>
    <cellStyle name="Normal 78 5 4 4" xfId="7324"/>
    <cellStyle name="Normal 78 5 4 5" xfId="7325"/>
    <cellStyle name="Normal 78 5 5" xfId="7326"/>
    <cellStyle name="Normal 78 5 6" xfId="7327"/>
    <cellStyle name="Normal 78 5 7" xfId="7328"/>
    <cellStyle name="Normal 78 5 8" xfId="7329"/>
    <cellStyle name="Normal 78 6" xfId="7330"/>
    <cellStyle name="Normal 78 6 2" xfId="7331"/>
    <cellStyle name="Normal 78 6 2 2" xfId="7332"/>
    <cellStyle name="Normal 78 6 2 3" xfId="7333"/>
    <cellStyle name="Normal 78 6 2 4" xfId="7334"/>
    <cellStyle name="Normal 78 6 2 5" xfId="7335"/>
    <cellStyle name="Normal 78 6 3" xfId="7336"/>
    <cellStyle name="Normal 78 6 3 2" xfId="7337"/>
    <cellStyle name="Normal 78 6 3 3" xfId="7338"/>
    <cellStyle name="Normal 78 6 3 4" xfId="7339"/>
    <cellStyle name="Normal 78 6 3 5" xfId="7340"/>
    <cellStyle name="Normal 78 6 4" xfId="7341"/>
    <cellStyle name="Normal 78 6 4 2" xfId="7342"/>
    <cellStyle name="Normal 78 6 4 3" xfId="7343"/>
    <cellStyle name="Normal 78 6 4 4" xfId="7344"/>
    <cellStyle name="Normal 78 6 4 5" xfId="7345"/>
    <cellStyle name="Normal 78 6 5" xfId="7346"/>
    <cellStyle name="Normal 78 6 6" xfId="7347"/>
    <cellStyle name="Normal 78 6 7" xfId="7348"/>
    <cellStyle name="Normal 78 6 8" xfId="7349"/>
    <cellStyle name="Normal 78 7" xfId="7350"/>
    <cellStyle name="Normal 78 7 2" xfId="7351"/>
    <cellStyle name="Normal 78 7 2 2" xfId="7352"/>
    <cellStyle name="Normal 78 7 2 3" xfId="7353"/>
    <cellStyle name="Normal 78 7 2 4" xfId="7354"/>
    <cellStyle name="Normal 78 7 2 5" xfId="7355"/>
    <cellStyle name="Normal 78 7 3" xfId="7356"/>
    <cellStyle name="Normal 78 7 3 2" xfId="7357"/>
    <cellStyle name="Normal 78 7 3 3" xfId="7358"/>
    <cellStyle name="Normal 78 7 3 4" xfId="7359"/>
    <cellStyle name="Normal 78 7 3 5" xfId="7360"/>
    <cellStyle name="Normal 78 7 4" xfId="7361"/>
    <cellStyle name="Normal 78 7 4 2" xfId="7362"/>
    <cellStyle name="Normal 78 7 4 3" xfId="7363"/>
    <cellStyle name="Normal 78 7 4 4" xfId="7364"/>
    <cellStyle name="Normal 78 7 4 5" xfId="7365"/>
    <cellStyle name="Normal 78 7 5" xfId="7366"/>
    <cellStyle name="Normal 78 7 6" xfId="7367"/>
    <cellStyle name="Normal 78 7 7" xfId="7368"/>
    <cellStyle name="Normal 78 7 8" xfId="7369"/>
    <cellStyle name="Normal 78 8" xfId="7370"/>
    <cellStyle name="Normal 78 8 2" xfId="7371"/>
    <cellStyle name="Normal 78 8 2 2" xfId="7372"/>
    <cellStyle name="Normal 78 8 2 3" xfId="7373"/>
    <cellStyle name="Normal 78 8 2 4" xfId="7374"/>
    <cellStyle name="Normal 78 8 2 5" xfId="7375"/>
    <cellStyle name="Normal 78 8 3" xfId="7376"/>
    <cellStyle name="Normal 78 8 3 2" xfId="7377"/>
    <cellStyle name="Normal 78 8 3 3" xfId="7378"/>
    <cellStyle name="Normal 78 8 3 4" xfId="7379"/>
    <cellStyle name="Normal 78 8 3 5" xfId="7380"/>
    <cellStyle name="Normal 78 8 4" xfId="7381"/>
    <cellStyle name="Normal 78 8 4 2" xfId="7382"/>
    <cellStyle name="Normal 78 8 4 3" xfId="7383"/>
    <cellStyle name="Normal 78 8 4 4" xfId="7384"/>
    <cellStyle name="Normal 78 8 4 5" xfId="7385"/>
    <cellStyle name="Normal 78 8 5" xfId="7386"/>
    <cellStyle name="Normal 78 8 6" xfId="7387"/>
    <cellStyle name="Normal 78 8 7" xfId="7388"/>
    <cellStyle name="Normal 78 8 8" xfId="7389"/>
    <cellStyle name="Normal 78 9" xfId="7390"/>
    <cellStyle name="Normal 78 9 2" xfId="7391"/>
    <cellStyle name="Normal 78 9 2 2" xfId="7392"/>
    <cellStyle name="Normal 78 9 2 3" xfId="7393"/>
    <cellStyle name="Normal 78 9 2 4" xfId="7394"/>
    <cellStyle name="Normal 78 9 2 5" xfId="7395"/>
    <cellStyle name="Normal 78 9 3" xfId="7396"/>
    <cellStyle name="Normal 78 9 3 2" xfId="7397"/>
    <cellStyle name="Normal 78 9 3 3" xfId="7398"/>
    <cellStyle name="Normal 78 9 3 4" xfId="7399"/>
    <cellStyle name="Normal 78 9 3 5" xfId="7400"/>
    <cellStyle name="Normal 78 9 4" xfId="7401"/>
    <cellStyle name="Normal 78 9 4 2" xfId="7402"/>
    <cellStyle name="Normal 78 9 4 3" xfId="7403"/>
    <cellStyle name="Normal 78 9 4 4" xfId="7404"/>
    <cellStyle name="Normal 78 9 4 5" xfId="7405"/>
    <cellStyle name="Normal 78 9 5" xfId="7406"/>
    <cellStyle name="Normal 78 9 6" xfId="7407"/>
    <cellStyle name="Normal 78 9 7" xfId="7408"/>
    <cellStyle name="Normal 78 9 8" xfId="7409"/>
    <cellStyle name="Normal 79" xfId="7410"/>
    <cellStyle name="Normal 79 10" xfId="7411"/>
    <cellStyle name="Normal 79 10 2" xfId="7412"/>
    <cellStyle name="Normal 79 10 2 2" xfId="7413"/>
    <cellStyle name="Normal 79 10 2 3" xfId="7414"/>
    <cellStyle name="Normal 79 10 2 4" xfId="7415"/>
    <cellStyle name="Normal 79 10 2 5" xfId="7416"/>
    <cellStyle name="Normal 79 10 3" xfId="7417"/>
    <cellStyle name="Normal 79 10 3 2" xfId="7418"/>
    <cellStyle name="Normal 79 10 3 3" xfId="7419"/>
    <cellStyle name="Normal 79 10 3 4" xfId="7420"/>
    <cellStyle name="Normal 79 10 3 5" xfId="7421"/>
    <cellStyle name="Normal 79 10 4" xfId="7422"/>
    <cellStyle name="Normal 79 10 4 2" xfId="7423"/>
    <cellStyle name="Normal 79 10 4 3" xfId="7424"/>
    <cellStyle name="Normal 79 10 4 4" xfId="7425"/>
    <cellStyle name="Normal 79 10 4 5" xfId="7426"/>
    <cellStyle name="Normal 79 10 5" xfId="7427"/>
    <cellStyle name="Normal 79 10 6" xfId="7428"/>
    <cellStyle name="Normal 79 10 7" xfId="7429"/>
    <cellStyle name="Normal 79 10 8" xfId="7430"/>
    <cellStyle name="Normal 79 11" xfId="7431"/>
    <cellStyle name="Normal 79 11 2" xfId="7432"/>
    <cellStyle name="Normal 79 11 2 2" xfId="7433"/>
    <cellStyle name="Normal 79 11 2 3" xfId="7434"/>
    <cellStyle name="Normal 79 11 2 4" xfId="7435"/>
    <cellStyle name="Normal 79 11 2 5" xfId="7436"/>
    <cellStyle name="Normal 79 11 3" xfId="7437"/>
    <cellStyle name="Normal 79 11 3 2" xfId="7438"/>
    <cellStyle name="Normal 79 11 3 3" xfId="7439"/>
    <cellStyle name="Normal 79 11 3 4" xfId="7440"/>
    <cellStyle name="Normal 79 11 3 5" xfId="7441"/>
    <cellStyle name="Normal 79 11 4" xfId="7442"/>
    <cellStyle name="Normal 79 11 4 2" xfId="7443"/>
    <cellStyle name="Normal 79 11 4 3" xfId="7444"/>
    <cellStyle name="Normal 79 11 4 4" xfId="7445"/>
    <cellStyle name="Normal 79 11 4 5" xfId="7446"/>
    <cellStyle name="Normal 79 11 5" xfId="7447"/>
    <cellStyle name="Normal 79 11 6" xfId="7448"/>
    <cellStyle name="Normal 79 11 7" xfId="7449"/>
    <cellStyle name="Normal 79 11 8" xfId="7450"/>
    <cellStyle name="Normal 79 12" xfId="7451"/>
    <cellStyle name="Normal 79 12 2" xfId="7452"/>
    <cellStyle name="Normal 79 12 3" xfId="7453"/>
    <cellStyle name="Normal 79 12 4" xfId="7454"/>
    <cellStyle name="Normal 79 12 5" xfId="7455"/>
    <cellStyle name="Normal 79 13" xfId="7456"/>
    <cellStyle name="Normal 79 13 2" xfId="7457"/>
    <cellStyle name="Normal 79 13 3" xfId="7458"/>
    <cellStyle name="Normal 79 13 4" xfId="7459"/>
    <cellStyle name="Normal 79 13 5" xfId="7460"/>
    <cellStyle name="Normal 79 14" xfId="7461"/>
    <cellStyle name="Normal 79 14 2" xfId="7462"/>
    <cellStyle name="Normal 79 14 3" xfId="7463"/>
    <cellStyle name="Normal 79 14 4" xfId="7464"/>
    <cellStyle name="Normal 79 14 5" xfId="7465"/>
    <cellStyle name="Normal 79 15" xfId="7466"/>
    <cellStyle name="Normal 79 16" xfId="7467"/>
    <cellStyle name="Normal 79 17" xfId="7468"/>
    <cellStyle name="Normal 79 18" xfId="7469"/>
    <cellStyle name="Normal 79 2" xfId="7470"/>
    <cellStyle name="Normal 79 2 2" xfId="7471"/>
    <cellStyle name="Normal 79 2 2 2" xfId="7472"/>
    <cellStyle name="Normal 79 2 2 3" xfId="7473"/>
    <cellStyle name="Normal 79 2 2 4" xfId="7474"/>
    <cellStyle name="Normal 79 2 2 5" xfId="7475"/>
    <cellStyle name="Normal 79 2 3" xfId="7476"/>
    <cellStyle name="Normal 79 2 3 2" xfId="7477"/>
    <cellStyle name="Normal 79 2 3 3" xfId="7478"/>
    <cellStyle name="Normal 79 2 3 4" xfId="7479"/>
    <cellStyle name="Normal 79 2 3 5" xfId="7480"/>
    <cellStyle name="Normal 79 2 4" xfId="7481"/>
    <cellStyle name="Normal 79 2 4 2" xfId="7482"/>
    <cellStyle name="Normal 79 2 4 3" xfId="7483"/>
    <cellStyle name="Normal 79 2 4 4" xfId="7484"/>
    <cellStyle name="Normal 79 2 4 5" xfId="7485"/>
    <cellStyle name="Normal 79 2 5" xfId="7486"/>
    <cellStyle name="Normal 79 2 6" xfId="7487"/>
    <cellStyle name="Normal 79 2 7" xfId="7488"/>
    <cellStyle name="Normal 79 2 8" xfId="7489"/>
    <cellStyle name="Normal 79 3" xfId="7490"/>
    <cellStyle name="Normal 79 3 2" xfId="7491"/>
    <cellStyle name="Normal 79 3 2 2" xfId="7492"/>
    <cellStyle name="Normal 79 3 2 3" xfId="7493"/>
    <cellStyle name="Normal 79 3 2 4" xfId="7494"/>
    <cellStyle name="Normal 79 3 2 5" xfId="7495"/>
    <cellStyle name="Normal 79 3 3" xfId="7496"/>
    <cellStyle name="Normal 79 3 3 2" xfId="7497"/>
    <cellStyle name="Normal 79 3 3 3" xfId="7498"/>
    <cellStyle name="Normal 79 3 3 4" xfId="7499"/>
    <cellStyle name="Normal 79 3 3 5" xfId="7500"/>
    <cellStyle name="Normal 79 3 4" xfId="7501"/>
    <cellStyle name="Normal 79 3 4 2" xfId="7502"/>
    <cellStyle name="Normal 79 3 4 3" xfId="7503"/>
    <cellStyle name="Normal 79 3 4 4" xfId="7504"/>
    <cellStyle name="Normal 79 3 4 5" xfId="7505"/>
    <cellStyle name="Normal 79 3 5" xfId="7506"/>
    <cellStyle name="Normal 79 3 6" xfId="7507"/>
    <cellStyle name="Normal 79 3 7" xfId="7508"/>
    <cellStyle name="Normal 79 3 8" xfId="7509"/>
    <cellStyle name="Normal 79 4" xfId="7510"/>
    <cellStyle name="Normal 79 4 2" xfId="7511"/>
    <cellStyle name="Normal 79 4 2 2" xfId="7512"/>
    <cellStyle name="Normal 79 4 2 3" xfId="7513"/>
    <cellStyle name="Normal 79 4 2 4" xfId="7514"/>
    <cellStyle name="Normal 79 4 2 5" xfId="7515"/>
    <cellStyle name="Normal 79 4 3" xfId="7516"/>
    <cellStyle name="Normal 79 4 3 2" xfId="7517"/>
    <cellStyle name="Normal 79 4 3 3" xfId="7518"/>
    <cellStyle name="Normal 79 4 3 4" xfId="7519"/>
    <cellStyle name="Normal 79 4 3 5" xfId="7520"/>
    <cellStyle name="Normal 79 4 4" xfId="7521"/>
    <cellStyle name="Normal 79 4 4 2" xfId="7522"/>
    <cellStyle name="Normal 79 4 4 3" xfId="7523"/>
    <cellStyle name="Normal 79 4 4 4" xfId="7524"/>
    <cellStyle name="Normal 79 4 4 5" xfId="7525"/>
    <cellStyle name="Normal 79 4 5" xfId="7526"/>
    <cellStyle name="Normal 79 4 6" xfId="7527"/>
    <cellStyle name="Normal 79 4 7" xfId="7528"/>
    <cellStyle name="Normal 79 4 8" xfId="7529"/>
    <cellStyle name="Normal 79 5" xfId="7530"/>
    <cellStyle name="Normal 79 5 2" xfId="7531"/>
    <cellStyle name="Normal 79 5 2 2" xfId="7532"/>
    <cellStyle name="Normal 79 5 2 3" xfId="7533"/>
    <cellStyle name="Normal 79 5 2 4" xfId="7534"/>
    <cellStyle name="Normal 79 5 2 5" xfId="7535"/>
    <cellStyle name="Normal 79 5 3" xfId="7536"/>
    <cellStyle name="Normal 79 5 3 2" xfId="7537"/>
    <cellStyle name="Normal 79 5 3 3" xfId="7538"/>
    <cellStyle name="Normal 79 5 3 4" xfId="7539"/>
    <cellStyle name="Normal 79 5 3 5" xfId="7540"/>
    <cellStyle name="Normal 79 5 4" xfId="7541"/>
    <cellStyle name="Normal 79 5 4 2" xfId="7542"/>
    <cellStyle name="Normal 79 5 4 3" xfId="7543"/>
    <cellStyle name="Normal 79 5 4 4" xfId="7544"/>
    <cellStyle name="Normal 79 5 4 5" xfId="7545"/>
    <cellStyle name="Normal 79 5 5" xfId="7546"/>
    <cellStyle name="Normal 79 5 6" xfId="7547"/>
    <cellStyle name="Normal 79 5 7" xfId="7548"/>
    <cellStyle name="Normal 79 5 8" xfId="7549"/>
    <cellStyle name="Normal 79 6" xfId="7550"/>
    <cellStyle name="Normal 79 6 2" xfId="7551"/>
    <cellStyle name="Normal 79 6 2 2" xfId="7552"/>
    <cellStyle name="Normal 79 6 2 3" xfId="7553"/>
    <cellStyle name="Normal 79 6 2 4" xfId="7554"/>
    <cellStyle name="Normal 79 6 2 5" xfId="7555"/>
    <cellStyle name="Normal 79 6 3" xfId="7556"/>
    <cellStyle name="Normal 79 6 3 2" xfId="7557"/>
    <cellStyle name="Normal 79 6 3 3" xfId="7558"/>
    <cellStyle name="Normal 79 6 3 4" xfId="7559"/>
    <cellStyle name="Normal 79 6 3 5" xfId="7560"/>
    <cellStyle name="Normal 79 6 4" xfId="7561"/>
    <cellStyle name="Normal 79 6 4 2" xfId="7562"/>
    <cellStyle name="Normal 79 6 4 3" xfId="7563"/>
    <cellStyle name="Normal 79 6 4 4" xfId="7564"/>
    <cellStyle name="Normal 79 6 4 5" xfId="7565"/>
    <cellStyle name="Normal 79 6 5" xfId="7566"/>
    <cellStyle name="Normal 79 6 6" xfId="7567"/>
    <cellStyle name="Normal 79 6 7" xfId="7568"/>
    <cellStyle name="Normal 79 6 8" xfId="7569"/>
    <cellStyle name="Normal 79 7" xfId="7570"/>
    <cellStyle name="Normal 79 7 2" xfId="7571"/>
    <cellStyle name="Normal 79 7 2 2" xfId="7572"/>
    <cellStyle name="Normal 79 7 2 3" xfId="7573"/>
    <cellStyle name="Normal 79 7 2 4" xfId="7574"/>
    <cellStyle name="Normal 79 7 2 5" xfId="7575"/>
    <cellStyle name="Normal 79 7 3" xfId="7576"/>
    <cellStyle name="Normal 79 7 3 2" xfId="7577"/>
    <cellStyle name="Normal 79 7 3 3" xfId="7578"/>
    <cellStyle name="Normal 79 7 3 4" xfId="7579"/>
    <cellStyle name="Normal 79 7 3 5" xfId="7580"/>
    <cellStyle name="Normal 79 7 4" xfId="7581"/>
    <cellStyle name="Normal 79 7 4 2" xfId="7582"/>
    <cellStyle name="Normal 79 7 4 3" xfId="7583"/>
    <cellStyle name="Normal 79 7 4 4" xfId="7584"/>
    <cellStyle name="Normal 79 7 4 5" xfId="7585"/>
    <cellStyle name="Normal 79 7 5" xfId="7586"/>
    <cellStyle name="Normal 79 7 6" xfId="7587"/>
    <cellStyle name="Normal 79 7 7" xfId="7588"/>
    <cellStyle name="Normal 79 7 8" xfId="7589"/>
    <cellStyle name="Normal 79 8" xfId="7590"/>
    <cellStyle name="Normal 79 8 2" xfId="7591"/>
    <cellStyle name="Normal 79 8 2 2" xfId="7592"/>
    <cellStyle name="Normal 79 8 2 3" xfId="7593"/>
    <cellStyle name="Normal 79 8 2 4" xfId="7594"/>
    <cellStyle name="Normal 79 8 2 5" xfId="7595"/>
    <cellStyle name="Normal 79 8 3" xfId="7596"/>
    <cellStyle name="Normal 79 8 3 2" xfId="7597"/>
    <cellStyle name="Normal 79 8 3 3" xfId="7598"/>
    <cellStyle name="Normal 79 8 3 4" xfId="7599"/>
    <cellStyle name="Normal 79 8 3 5" xfId="7600"/>
    <cellStyle name="Normal 79 8 4" xfId="7601"/>
    <cellStyle name="Normal 79 8 4 2" xfId="7602"/>
    <cellStyle name="Normal 79 8 4 3" xfId="7603"/>
    <cellStyle name="Normal 79 8 4 4" xfId="7604"/>
    <cellStyle name="Normal 79 8 4 5" xfId="7605"/>
    <cellStyle name="Normal 79 8 5" xfId="7606"/>
    <cellStyle name="Normal 79 8 6" xfId="7607"/>
    <cellStyle name="Normal 79 8 7" xfId="7608"/>
    <cellStyle name="Normal 79 8 8" xfId="7609"/>
    <cellStyle name="Normal 79 9" xfId="7610"/>
    <cellStyle name="Normal 79 9 2" xfId="7611"/>
    <cellStyle name="Normal 79 9 2 2" xfId="7612"/>
    <cellStyle name="Normal 79 9 2 3" xfId="7613"/>
    <cellStyle name="Normal 79 9 2 4" xfId="7614"/>
    <cellStyle name="Normal 79 9 2 5" xfId="7615"/>
    <cellStyle name="Normal 79 9 3" xfId="7616"/>
    <cellStyle name="Normal 79 9 3 2" xfId="7617"/>
    <cellStyle name="Normal 79 9 3 3" xfId="7618"/>
    <cellStyle name="Normal 79 9 3 4" xfId="7619"/>
    <cellStyle name="Normal 79 9 3 5" xfId="7620"/>
    <cellStyle name="Normal 79 9 4" xfId="7621"/>
    <cellStyle name="Normal 79 9 4 2" xfId="7622"/>
    <cellStyle name="Normal 79 9 4 3" xfId="7623"/>
    <cellStyle name="Normal 79 9 4 4" xfId="7624"/>
    <cellStyle name="Normal 79 9 4 5" xfId="7625"/>
    <cellStyle name="Normal 79 9 5" xfId="7626"/>
    <cellStyle name="Normal 79 9 6" xfId="7627"/>
    <cellStyle name="Normal 79 9 7" xfId="7628"/>
    <cellStyle name="Normal 79 9 8" xfId="7629"/>
    <cellStyle name="Normal 8" xfId="7630"/>
    <cellStyle name="Normal 8 10" xfId="7631"/>
    <cellStyle name="Normal 8 11" xfId="7632"/>
    <cellStyle name="Normal 8 12" xfId="7633"/>
    <cellStyle name="Normal 8 13" xfId="7634"/>
    <cellStyle name="Normal 8 14" xfId="7635"/>
    <cellStyle name="Normal 8 15" xfId="7636"/>
    <cellStyle name="Normal 8 16" xfId="7637"/>
    <cellStyle name="Normal 8 17" xfId="7638"/>
    <cellStyle name="Normal 8 18" xfId="7639"/>
    <cellStyle name="Normal 8 19" xfId="7640"/>
    <cellStyle name="Normal 8 2" xfId="7641"/>
    <cellStyle name="Normal 8 2 2" xfId="7642"/>
    <cellStyle name="Normal 8 20" xfId="7643"/>
    <cellStyle name="Normal 8 3" xfId="7644"/>
    <cellStyle name="Normal 8 3 2" xfId="7645"/>
    <cellStyle name="Normal 8 4" xfId="7646"/>
    <cellStyle name="Normal 8 5" xfId="7647"/>
    <cellStyle name="Normal 8 6" xfId="7648"/>
    <cellStyle name="Normal 8 7" xfId="7649"/>
    <cellStyle name="Normal 8 8" xfId="7650"/>
    <cellStyle name="Normal 8 9" xfId="7651"/>
    <cellStyle name="Normal 80" xfId="7652"/>
    <cellStyle name="Normal 80 10" xfId="7653"/>
    <cellStyle name="Normal 80 10 2" xfId="7654"/>
    <cellStyle name="Normal 80 10 2 2" xfId="7655"/>
    <cellStyle name="Normal 80 10 2 3" xfId="7656"/>
    <cellStyle name="Normal 80 10 2 4" xfId="7657"/>
    <cellStyle name="Normal 80 10 2 5" xfId="7658"/>
    <cellStyle name="Normal 80 10 3" xfId="7659"/>
    <cellStyle name="Normal 80 10 3 2" xfId="7660"/>
    <cellStyle name="Normal 80 10 3 3" xfId="7661"/>
    <cellStyle name="Normal 80 10 3 4" xfId="7662"/>
    <cellStyle name="Normal 80 10 3 5" xfId="7663"/>
    <cellStyle name="Normal 80 10 4" xfId="7664"/>
    <cellStyle name="Normal 80 10 4 2" xfId="7665"/>
    <cellStyle name="Normal 80 10 4 3" xfId="7666"/>
    <cellStyle name="Normal 80 10 4 4" xfId="7667"/>
    <cellStyle name="Normal 80 10 4 5" xfId="7668"/>
    <cellStyle name="Normal 80 10 5" xfId="7669"/>
    <cellStyle name="Normal 80 10 6" xfId="7670"/>
    <cellStyle name="Normal 80 10 7" xfId="7671"/>
    <cellStyle name="Normal 80 10 8" xfId="7672"/>
    <cellStyle name="Normal 80 11" xfId="7673"/>
    <cellStyle name="Normal 80 11 2" xfId="7674"/>
    <cellStyle name="Normal 80 11 2 2" xfId="7675"/>
    <cellStyle name="Normal 80 11 2 3" xfId="7676"/>
    <cellStyle name="Normal 80 11 2 4" xfId="7677"/>
    <cellStyle name="Normal 80 11 2 5" xfId="7678"/>
    <cellStyle name="Normal 80 11 3" xfId="7679"/>
    <cellStyle name="Normal 80 11 3 2" xfId="7680"/>
    <cellStyle name="Normal 80 11 3 3" xfId="7681"/>
    <cellStyle name="Normal 80 11 3 4" xfId="7682"/>
    <cellStyle name="Normal 80 11 3 5" xfId="7683"/>
    <cellStyle name="Normal 80 11 4" xfId="7684"/>
    <cellStyle name="Normal 80 11 4 2" xfId="7685"/>
    <cellStyle name="Normal 80 11 4 3" xfId="7686"/>
    <cellStyle name="Normal 80 11 4 4" xfId="7687"/>
    <cellStyle name="Normal 80 11 4 5" xfId="7688"/>
    <cellStyle name="Normal 80 11 5" xfId="7689"/>
    <cellStyle name="Normal 80 11 6" xfId="7690"/>
    <cellStyle name="Normal 80 11 7" xfId="7691"/>
    <cellStyle name="Normal 80 11 8" xfId="7692"/>
    <cellStyle name="Normal 80 12" xfId="7693"/>
    <cellStyle name="Normal 80 12 2" xfId="7694"/>
    <cellStyle name="Normal 80 12 3" xfId="7695"/>
    <cellStyle name="Normal 80 12 4" xfId="7696"/>
    <cellStyle name="Normal 80 12 5" xfId="7697"/>
    <cellStyle name="Normal 80 13" xfId="7698"/>
    <cellStyle name="Normal 80 13 2" xfId="7699"/>
    <cellStyle name="Normal 80 13 3" xfId="7700"/>
    <cellStyle name="Normal 80 13 4" xfId="7701"/>
    <cellStyle name="Normal 80 13 5" xfId="7702"/>
    <cellStyle name="Normal 80 14" xfId="7703"/>
    <cellStyle name="Normal 80 14 2" xfId="7704"/>
    <cellStyle name="Normal 80 14 3" xfId="7705"/>
    <cellStyle name="Normal 80 14 4" xfId="7706"/>
    <cellStyle name="Normal 80 14 5" xfId="7707"/>
    <cellStyle name="Normal 80 15" xfId="7708"/>
    <cellStyle name="Normal 80 16" xfId="7709"/>
    <cellStyle name="Normal 80 17" xfId="7710"/>
    <cellStyle name="Normal 80 18" xfId="7711"/>
    <cellStyle name="Normal 80 2" xfId="7712"/>
    <cellStyle name="Normal 80 2 2" xfId="7713"/>
    <cellStyle name="Normal 80 2 2 2" xfId="7714"/>
    <cellStyle name="Normal 80 2 2 3" xfId="7715"/>
    <cellStyle name="Normal 80 2 2 4" xfId="7716"/>
    <cellStyle name="Normal 80 2 2 5" xfId="7717"/>
    <cellStyle name="Normal 80 2 3" xfId="7718"/>
    <cellStyle name="Normal 80 2 3 2" xfId="7719"/>
    <cellStyle name="Normal 80 2 3 3" xfId="7720"/>
    <cellStyle name="Normal 80 2 3 4" xfId="7721"/>
    <cellStyle name="Normal 80 2 3 5" xfId="7722"/>
    <cellStyle name="Normal 80 2 4" xfId="7723"/>
    <cellStyle name="Normal 80 2 4 2" xfId="7724"/>
    <cellStyle name="Normal 80 2 4 3" xfId="7725"/>
    <cellStyle name="Normal 80 2 4 4" xfId="7726"/>
    <cellStyle name="Normal 80 2 4 5" xfId="7727"/>
    <cellStyle name="Normal 80 2 5" xfId="7728"/>
    <cellStyle name="Normal 80 2 6" xfId="7729"/>
    <cellStyle name="Normal 80 2 7" xfId="7730"/>
    <cellStyle name="Normal 80 2 8" xfId="7731"/>
    <cellStyle name="Normal 80 3" xfId="7732"/>
    <cellStyle name="Normal 80 3 2" xfId="7733"/>
    <cellStyle name="Normal 80 3 2 2" xfId="7734"/>
    <cellStyle name="Normal 80 3 2 3" xfId="7735"/>
    <cellStyle name="Normal 80 3 2 4" xfId="7736"/>
    <cellStyle name="Normal 80 3 2 5" xfId="7737"/>
    <cellStyle name="Normal 80 3 3" xfId="7738"/>
    <cellStyle name="Normal 80 3 3 2" xfId="7739"/>
    <cellStyle name="Normal 80 3 3 3" xfId="7740"/>
    <cellStyle name="Normal 80 3 3 4" xfId="7741"/>
    <cellStyle name="Normal 80 3 3 5" xfId="7742"/>
    <cellStyle name="Normal 80 3 4" xfId="7743"/>
    <cellStyle name="Normal 80 3 4 2" xfId="7744"/>
    <cellStyle name="Normal 80 3 4 3" xfId="7745"/>
    <cellStyle name="Normal 80 3 4 4" xfId="7746"/>
    <cellStyle name="Normal 80 3 4 5" xfId="7747"/>
    <cellStyle name="Normal 80 3 5" xfId="7748"/>
    <cellStyle name="Normal 80 3 6" xfId="7749"/>
    <cellStyle name="Normal 80 3 7" xfId="7750"/>
    <cellStyle name="Normal 80 3 8" xfId="7751"/>
    <cellStyle name="Normal 80 4" xfId="7752"/>
    <cellStyle name="Normal 80 4 2" xfId="7753"/>
    <cellStyle name="Normal 80 4 2 2" xfId="7754"/>
    <cellStyle name="Normal 80 4 2 3" xfId="7755"/>
    <cellStyle name="Normal 80 4 2 4" xfId="7756"/>
    <cellStyle name="Normal 80 4 2 5" xfId="7757"/>
    <cellStyle name="Normal 80 4 3" xfId="7758"/>
    <cellStyle name="Normal 80 4 3 2" xfId="7759"/>
    <cellStyle name="Normal 80 4 3 3" xfId="7760"/>
    <cellStyle name="Normal 80 4 3 4" xfId="7761"/>
    <cellStyle name="Normal 80 4 3 5" xfId="7762"/>
    <cellStyle name="Normal 80 4 4" xfId="7763"/>
    <cellStyle name="Normal 80 4 4 2" xfId="7764"/>
    <cellStyle name="Normal 80 4 4 3" xfId="7765"/>
    <cellStyle name="Normal 80 4 4 4" xfId="7766"/>
    <cellStyle name="Normal 80 4 4 5" xfId="7767"/>
    <cellStyle name="Normal 80 4 5" xfId="7768"/>
    <cellStyle name="Normal 80 4 6" xfId="7769"/>
    <cellStyle name="Normal 80 4 7" xfId="7770"/>
    <cellStyle name="Normal 80 4 8" xfId="7771"/>
    <cellStyle name="Normal 80 5" xfId="7772"/>
    <cellStyle name="Normal 80 5 2" xfId="7773"/>
    <cellStyle name="Normal 80 5 2 2" xfId="7774"/>
    <cellStyle name="Normal 80 5 2 3" xfId="7775"/>
    <cellStyle name="Normal 80 5 2 4" xfId="7776"/>
    <cellStyle name="Normal 80 5 2 5" xfId="7777"/>
    <cellStyle name="Normal 80 5 3" xfId="7778"/>
    <cellStyle name="Normal 80 5 3 2" xfId="7779"/>
    <cellStyle name="Normal 80 5 3 3" xfId="7780"/>
    <cellStyle name="Normal 80 5 3 4" xfId="7781"/>
    <cellStyle name="Normal 80 5 3 5" xfId="7782"/>
    <cellStyle name="Normal 80 5 4" xfId="7783"/>
    <cellStyle name="Normal 80 5 4 2" xfId="7784"/>
    <cellStyle name="Normal 80 5 4 3" xfId="7785"/>
    <cellStyle name="Normal 80 5 4 4" xfId="7786"/>
    <cellStyle name="Normal 80 5 4 5" xfId="7787"/>
    <cellStyle name="Normal 80 5 5" xfId="7788"/>
    <cellStyle name="Normal 80 5 6" xfId="7789"/>
    <cellStyle name="Normal 80 5 7" xfId="7790"/>
    <cellStyle name="Normal 80 5 8" xfId="7791"/>
    <cellStyle name="Normal 80 6" xfId="7792"/>
    <cellStyle name="Normal 80 6 2" xfId="7793"/>
    <cellStyle name="Normal 80 6 2 2" xfId="7794"/>
    <cellStyle name="Normal 80 6 2 3" xfId="7795"/>
    <cellStyle name="Normal 80 6 2 4" xfId="7796"/>
    <cellStyle name="Normal 80 6 2 5" xfId="7797"/>
    <cellStyle name="Normal 80 6 3" xfId="7798"/>
    <cellStyle name="Normal 80 6 3 2" xfId="7799"/>
    <cellStyle name="Normal 80 6 3 3" xfId="7800"/>
    <cellStyle name="Normal 80 6 3 4" xfId="7801"/>
    <cellStyle name="Normal 80 6 3 5" xfId="7802"/>
    <cellStyle name="Normal 80 6 4" xfId="7803"/>
    <cellStyle name="Normal 80 6 4 2" xfId="7804"/>
    <cellStyle name="Normal 80 6 4 3" xfId="7805"/>
    <cellStyle name="Normal 80 6 4 4" xfId="7806"/>
    <cellStyle name="Normal 80 6 4 5" xfId="7807"/>
    <cellStyle name="Normal 80 6 5" xfId="7808"/>
    <cellStyle name="Normal 80 6 6" xfId="7809"/>
    <cellStyle name="Normal 80 6 7" xfId="7810"/>
    <cellStyle name="Normal 80 6 8" xfId="7811"/>
    <cellStyle name="Normal 80 7" xfId="7812"/>
    <cellStyle name="Normal 80 7 2" xfId="7813"/>
    <cellStyle name="Normal 80 7 2 2" xfId="7814"/>
    <cellStyle name="Normal 80 7 2 3" xfId="7815"/>
    <cellStyle name="Normal 80 7 2 4" xfId="7816"/>
    <cellStyle name="Normal 80 7 2 5" xfId="7817"/>
    <cellStyle name="Normal 80 7 3" xfId="7818"/>
    <cellStyle name="Normal 80 7 3 2" xfId="7819"/>
    <cellStyle name="Normal 80 7 3 3" xfId="7820"/>
    <cellStyle name="Normal 80 7 3 4" xfId="7821"/>
    <cellStyle name="Normal 80 7 3 5" xfId="7822"/>
    <cellStyle name="Normal 80 7 4" xfId="7823"/>
    <cellStyle name="Normal 80 7 4 2" xfId="7824"/>
    <cellStyle name="Normal 80 7 4 3" xfId="7825"/>
    <cellStyle name="Normal 80 7 4 4" xfId="7826"/>
    <cellStyle name="Normal 80 7 4 5" xfId="7827"/>
    <cellStyle name="Normal 80 7 5" xfId="7828"/>
    <cellStyle name="Normal 80 7 6" xfId="7829"/>
    <cellStyle name="Normal 80 7 7" xfId="7830"/>
    <cellStyle name="Normal 80 7 8" xfId="7831"/>
    <cellStyle name="Normal 80 8" xfId="7832"/>
    <cellStyle name="Normal 80 8 2" xfId="7833"/>
    <cellStyle name="Normal 80 8 2 2" xfId="7834"/>
    <cellStyle name="Normal 80 8 2 3" xfId="7835"/>
    <cellStyle name="Normal 80 8 2 4" xfId="7836"/>
    <cellStyle name="Normal 80 8 2 5" xfId="7837"/>
    <cellStyle name="Normal 80 8 3" xfId="7838"/>
    <cellStyle name="Normal 80 8 3 2" xfId="7839"/>
    <cellStyle name="Normal 80 8 3 3" xfId="7840"/>
    <cellStyle name="Normal 80 8 3 4" xfId="7841"/>
    <cellStyle name="Normal 80 8 3 5" xfId="7842"/>
    <cellStyle name="Normal 80 8 4" xfId="7843"/>
    <cellStyle name="Normal 80 8 4 2" xfId="7844"/>
    <cellStyle name="Normal 80 8 4 3" xfId="7845"/>
    <cellStyle name="Normal 80 8 4 4" xfId="7846"/>
    <cellStyle name="Normal 80 8 4 5" xfId="7847"/>
    <cellStyle name="Normal 80 8 5" xfId="7848"/>
    <cellStyle name="Normal 80 8 6" xfId="7849"/>
    <cellStyle name="Normal 80 8 7" xfId="7850"/>
    <cellStyle name="Normal 80 8 8" xfId="7851"/>
    <cellStyle name="Normal 80 9" xfId="7852"/>
    <cellStyle name="Normal 80 9 2" xfId="7853"/>
    <cellStyle name="Normal 80 9 2 2" xfId="7854"/>
    <cellStyle name="Normal 80 9 2 3" xfId="7855"/>
    <cellStyle name="Normal 80 9 2 4" xfId="7856"/>
    <cellStyle name="Normal 80 9 2 5" xfId="7857"/>
    <cellStyle name="Normal 80 9 3" xfId="7858"/>
    <cellStyle name="Normal 80 9 3 2" xfId="7859"/>
    <cellStyle name="Normal 80 9 3 3" xfId="7860"/>
    <cellStyle name="Normal 80 9 3 4" xfId="7861"/>
    <cellStyle name="Normal 80 9 3 5" xfId="7862"/>
    <cellStyle name="Normal 80 9 4" xfId="7863"/>
    <cellStyle name="Normal 80 9 4 2" xfId="7864"/>
    <cellStyle name="Normal 80 9 4 3" xfId="7865"/>
    <cellStyle name="Normal 80 9 4 4" xfId="7866"/>
    <cellStyle name="Normal 80 9 4 5" xfId="7867"/>
    <cellStyle name="Normal 80 9 5" xfId="7868"/>
    <cellStyle name="Normal 80 9 6" xfId="7869"/>
    <cellStyle name="Normal 80 9 7" xfId="7870"/>
    <cellStyle name="Normal 80 9 8" xfId="7871"/>
    <cellStyle name="Normal 81" xfId="7872"/>
    <cellStyle name="Normal 81 10" xfId="7873"/>
    <cellStyle name="Normal 81 10 2" xfId="7874"/>
    <cellStyle name="Normal 81 10 2 2" xfId="7875"/>
    <cellStyle name="Normal 81 10 2 3" xfId="7876"/>
    <cellStyle name="Normal 81 10 2 4" xfId="7877"/>
    <cellStyle name="Normal 81 10 2 5" xfId="7878"/>
    <cellStyle name="Normal 81 10 3" xfId="7879"/>
    <cellStyle name="Normal 81 10 3 2" xfId="7880"/>
    <cellStyle name="Normal 81 10 3 3" xfId="7881"/>
    <cellStyle name="Normal 81 10 3 4" xfId="7882"/>
    <cellStyle name="Normal 81 10 3 5" xfId="7883"/>
    <cellStyle name="Normal 81 10 4" xfId="7884"/>
    <cellStyle name="Normal 81 10 4 2" xfId="7885"/>
    <cellStyle name="Normal 81 10 4 3" xfId="7886"/>
    <cellStyle name="Normal 81 10 4 4" xfId="7887"/>
    <cellStyle name="Normal 81 10 4 5" xfId="7888"/>
    <cellStyle name="Normal 81 10 5" xfId="7889"/>
    <cellStyle name="Normal 81 10 6" xfId="7890"/>
    <cellStyle name="Normal 81 10 7" xfId="7891"/>
    <cellStyle name="Normal 81 10 8" xfId="7892"/>
    <cellStyle name="Normal 81 11" xfId="7893"/>
    <cellStyle name="Normal 81 11 2" xfId="7894"/>
    <cellStyle name="Normal 81 11 2 2" xfId="7895"/>
    <cellStyle name="Normal 81 11 2 3" xfId="7896"/>
    <cellStyle name="Normal 81 11 2 4" xfId="7897"/>
    <cellStyle name="Normal 81 11 2 5" xfId="7898"/>
    <cellStyle name="Normal 81 11 3" xfId="7899"/>
    <cellStyle name="Normal 81 11 3 2" xfId="7900"/>
    <cellStyle name="Normal 81 11 3 3" xfId="7901"/>
    <cellStyle name="Normal 81 11 3 4" xfId="7902"/>
    <cellStyle name="Normal 81 11 3 5" xfId="7903"/>
    <cellStyle name="Normal 81 11 4" xfId="7904"/>
    <cellStyle name="Normal 81 11 4 2" xfId="7905"/>
    <cellStyle name="Normal 81 11 4 3" xfId="7906"/>
    <cellStyle name="Normal 81 11 4 4" xfId="7907"/>
    <cellStyle name="Normal 81 11 4 5" xfId="7908"/>
    <cellStyle name="Normal 81 11 5" xfId="7909"/>
    <cellStyle name="Normal 81 11 6" xfId="7910"/>
    <cellStyle name="Normal 81 11 7" xfId="7911"/>
    <cellStyle name="Normal 81 11 8" xfId="7912"/>
    <cellStyle name="Normal 81 12" xfId="7913"/>
    <cellStyle name="Normal 81 12 2" xfId="7914"/>
    <cellStyle name="Normal 81 12 3" xfId="7915"/>
    <cellStyle name="Normal 81 12 4" xfId="7916"/>
    <cellStyle name="Normal 81 12 5" xfId="7917"/>
    <cellStyle name="Normal 81 13" xfId="7918"/>
    <cellStyle name="Normal 81 13 2" xfId="7919"/>
    <cellStyle name="Normal 81 13 3" xfId="7920"/>
    <cellStyle name="Normal 81 13 4" xfId="7921"/>
    <cellStyle name="Normal 81 13 5" xfId="7922"/>
    <cellStyle name="Normal 81 14" xfId="7923"/>
    <cellStyle name="Normal 81 14 2" xfId="7924"/>
    <cellStyle name="Normal 81 14 3" xfId="7925"/>
    <cellStyle name="Normal 81 14 4" xfId="7926"/>
    <cellStyle name="Normal 81 14 5" xfId="7927"/>
    <cellStyle name="Normal 81 15" xfId="7928"/>
    <cellStyle name="Normal 81 16" xfId="7929"/>
    <cellStyle name="Normal 81 17" xfId="7930"/>
    <cellStyle name="Normal 81 18" xfId="7931"/>
    <cellStyle name="Normal 81 2" xfId="7932"/>
    <cellStyle name="Normal 81 2 2" xfId="7933"/>
    <cellStyle name="Normal 81 2 2 2" xfId="7934"/>
    <cellStyle name="Normal 81 2 2 3" xfId="7935"/>
    <cellStyle name="Normal 81 2 2 4" xfId="7936"/>
    <cellStyle name="Normal 81 2 2 5" xfId="7937"/>
    <cellStyle name="Normal 81 2 3" xfId="7938"/>
    <cellStyle name="Normal 81 2 3 2" xfId="7939"/>
    <cellStyle name="Normal 81 2 3 3" xfId="7940"/>
    <cellStyle name="Normal 81 2 3 4" xfId="7941"/>
    <cellStyle name="Normal 81 2 3 5" xfId="7942"/>
    <cellStyle name="Normal 81 2 4" xfId="7943"/>
    <cellStyle name="Normal 81 2 4 2" xfId="7944"/>
    <cellStyle name="Normal 81 2 4 3" xfId="7945"/>
    <cellStyle name="Normal 81 2 4 4" xfId="7946"/>
    <cellStyle name="Normal 81 2 4 5" xfId="7947"/>
    <cellStyle name="Normal 81 2 5" xfId="7948"/>
    <cellStyle name="Normal 81 2 6" xfId="7949"/>
    <cellStyle name="Normal 81 2 7" xfId="7950"/>
    <cellStyle name="Normal 81 2 8" xfId="7951"/>
    <cellStyle name="Normal 81 3" xfId="7952"/>
    <cellStyle name="Normal 81 3 2" xfId="7953"/>
    <cellStyle name="Normal 81 3 2 2" xfId="7954"/>
    <cellStyle name="Normal 81 3 2 3" xfId="7955"/>
    <cellStyle name="Normal 81 3 2 4" xfId="7956"/>
    <cellStyle name="Normal 81 3 2 5" xfId="7957"/>
    <cellStyle name="Normal 81 3 3" xfId="7958"/>
    <cellStyle name="Normal 81 3 3 2" xfId="7959"/>
    <cellStyle name="Normal 81 3 3 3" xfId="7960"/>
    <cellStyle name="Normal 81 3 3 4" xfId="7961"/>
    <cellStyle name="Normal 81 3 3 5" xfId="7962"/>
    <cellStyle name="Normal 81 3 4" xfId="7963"/>
    <cellStyle name="Normal 81 3 4 2" xfId="7964"/>
    <cellStyle name="Normal 81 3 4 3" xfId="7965"/>
    <cellStyle name="Normal 81 3 4 4" xfId="7966"/>
    <cellStyle name="Normal 81 3 4 5" xfId="7967"/>
    <cellStyle name="Normal 81 3 5" xfId="7968"/>
    <cellStyle name="Normal 81 3 6" xfId="7969"/>
    <cellStyle name="Normal 81 3 7" xfId="7970"/>
    <cellStyle name="Normal 81 3 8" xfId="7971"/>
    <cellStyle name="Normal 81 4" xfId="7972"/>
    <cellStyle name="Normal 81 4 2" xfId="7973"/>
    <cellStyle name="Normal 81 4 2 2" xfId="7974"/>
    <cellStyle name="Normal 81 4 2 3" xfId="7975"/>
    <cellStyle name="Normal 81 4 2 4" xfId="7976"/>
    <cellStyle name="Normal 81 4 2 5" xfId="7977"/>
    <cellStyle name="Normal 81 4 3" xfId="7978"/>
    <cellStyle name="Normal 81 4 3 2" xfId="7979"/>
    <cellStyle name="Normal 81 4 3 3" xfId="7980"/>
    <cellStyle name="Normal 81 4 3 4" xfId="7981"/>
    <cellStyle name="Normal 81 4 3 5" xfId="7982"/>
    <cellStyle name="Normal 81 4 4" xfId="7983"/>
    <cellStyle name="Normal 81 4 4 2" xfId="7984"/>
    <cellStyle name="Normal 81 4 4 3" xfId="7985"/>
    <cellStyle name="Normal 81 4 4 4" xfId="7986"/>
    <cellStyle name="Normal 81 4 4 5" xfId="7987"/>
    <cellStyle name="Normal 81 4 5" xfId="7988"/>
    <cellStyle name="Normal 81 4 6" xfId="7989"/>
    <cellStyle name="Normal 81 4 7" xfId="7990"/>
    <cellStyle name="Normal 81 4 8" xfId="7991"/>
    <cellStyle name="Normal 81 5" xfId="7992"/>
    <cellStyle name="Normal 81 5 2" xfId="7993"/>
    <cellStyle name="Normal 81 5 2 2" xfId="7994"/>
    <cellStyle name="Normal 81 5 2 3" xfId="7995"/>
    <cellStyle name="Normal 81 5 2 4" xfId="7996"/>
    <cellStyle name="Normal 81 5 2 5" xfId="7997"/>
    <cellStyle name="Normal 81 5 3" xfId="7998"/>
    <cellStyle name="Normal 81 5 3 2" xfId="7999"/>
    <cellStyle name="Normal 81 5 3 3" xfId="8000"/>
    <cellStyle name="Normal 81 5 3 4" xfId="8001"/>
    <cellStyle name="Normal 81 5 3 5" xfId="8002"/>
    <cellStyle name="Normal 81 5 4" xfId="8003"/>
    <cellStyle name="Normal 81 5 4 2" xfId="8004"/>
    <cellStyle name="Normal 81 5 4 3" xfId="8005"/>
    <cellStyle name="Normal 81 5 4 4" xfId="8006"/>
    <cellStyle name="Normal 81 5 4 5" xfId="8007"/>
    <cellStyle name="Normal 81 5 5" xfId="8008"/>
    <cellStyle name="Normal 81 5 6" xfId="8009"/>
    <cellStyle name="Normal 81 5 7" xfId="8010"/>
    <cellStyle name="Normal 81 5 8" xfId="8011"/>
    <cellStyle name="Normal 81 6" xfId="8012"/>
    <cellStyle name="Normal 81 6 2" xfId="8013"/>
    <cellStyle name="Normal 81 6 2 2" xfId="8014"/>
    <cellStyle name="Normal 81 6 2 3" xfId="8015"/>
    <cellStyle name="Normal 81 6 2 4" xfId="8016"/>
    <cellStyle name="Normal 81 6 2 5" xfId="8017"/>
    <cellStyle name="Normal 81 6 3" xfId="8018"/>
    <cellStyle name="Normal 81 6 3 2" xfId="8019"/>
    <cellStyle name="Normal 81 6 3 3" xfId="8020"/>
    <cellStyle name="Normal 81 6 3 4" xfId="8021"/>
    <cellStyle name="Normal 81 6 3 5" xfId="8022"/>
    <cellStyle name="Normal 81 6 4" xfId="8023"/>
    <cellStyle name="Normal 81 6 4 2" xfId="8024"/>
    <cellStyle name="Normal 81 6 4 3" xfId="8025"/>
    <cellStyle name="Normal 81 6 4 4" xfId="8026"/>
    <cellStyle name="Normal 81 6 4 5" xfId="8027"/>
    <cellStyle name="Normal 81 6 5" xfId="8028"/>
    <cellStyle name="Normal 81 6 6" xfId="8029"/>
    <cellStyle name="Normal 81 6 7" xfId="8030"/>
    <cellStyle name="Normal 81 6 8" xfId="8031"/>
    <cellStyle name="Normal 81 7" xfId="8032"/>
    <cellStyle name="Normal 81 7 2" xfId="8033"/>
    <cellStyle name="Normal 81 7 2 2" xfId="8034"/>
    <cellStyle name="Normal 81 7 2 3" xfId="8035"/>
    <cellStyle name="Normal 81 7 2 4" xfId="8036"/>
    <cellStyle name="Normal 81 7 2 5" xfId="8037"/>
    <cellStyle name="Normal 81 7 3" xfId="8038"/>
    <cellStyle name="Normal 81 7 3 2" xfId="8039"/>
    <cellStyle name="Normal 81 7 3 3" xfId="8040"/>
    <cellStyle name="Normal 81 7 3 4" xfId="8041"/>
    <cellStyle name="Normal 81 7 3 5" xfId="8042"/>
    <cellStyle name="Normal 81 7 4" xfId="8043"/>
    <cellStyle name="Normal 81 7 4 2" xfId="8044"/>
    <cellStyle name="Normal 81 7 4 3" xfId="8045"/>
    <cellStyle name="Normal 81 7 4 4" xfId="8046"/>
    <cellStyle name="Normal 81 7 4 5" xfId="8047"/>
    <cellStyle name="Normal 81 7 5" xfId="8048"/>
    <cellStyle name="Normal 81 7 6" xfId="8049"/>
    <cellStyle name="Normal 81 7 7" xfId="8050"/>
    <cellStyle name="Normal 81 7 8" xfId="8051"/>
    <cellStyle name="Normal 81 8" xfId="8052"/>
    <cellStyle name="Normal 81 8 2" xfId="8053"/>
    <cellStyle name="Normal 81 8 2 2" xfId="8054"/>
    <cellStyle name="Normal 81 8 2 3" xfId="8055"/>
    <cellStyle name="Normal 81 8 2 4" xfId="8056"/>
    <cellStyle name="Normal 81 8 2 5" xfId="8057"/>
    <cellStyle name="Normal 81 8 3" xfId="8058"/>
    <cellStyle name="Normal 81 8 3 2" xfId="8059"/>
    <cellStyle name="Normal 81 8 3 3" xfId="8060"/>
    <cellStyle name="Normal 81 8 3 4" xfId="8061"/>
    <cellStyle name="Normal 81 8 3 5" xfId="8062"/>
    <cellStyle name="Normal 81 8 4" xfId="8063"/>
    <cellStyle name="Normal 81 8 4 2" xfId="8064"/>
    <cellStyle name="Normal 81 8 4 3" xfId="8065"/>
    <cellStyle name="Normal 81 8 4 4" xfId="8066"/>
    <cellStyle name="Normal 81 8 4 5" xfId="8067"/>
    <cellStyle name="Normal 81 8 5" xfId="8068"/>
    <cellStyle name="Normal 81 8 6" xfId="8069"/>
    <cellStyle name="Normal 81 8 7" xfId="8070"/>
    <cellStyle name="Normal 81 8 8" xfId="8071"/>
    <cellStyle name="Normal 81 9" xfId="8072"/>
    <cellStyle name="Normal 81 9 2" xfId="8073"/>
    <cellStyle name="Normal 81 9 2 2" xfId="8074"/>
    <cellStyle name="Normal 81 9 2 3" xfId="8075"/>
    <cellStyle name="Normal 81 9 2 4" xfId="8076"/>
    <cellStyle name="Normal 81 9 2 5" xfId="8077"/>
    <cellStyle name="Normal 81 9 3" xfId="8078"/>
    <cellStyle name="Normal 81 9 3 2" xfId="8079"/>
    <cellStyle name="Normal 81 9 3 3" xfId="8080"/>
    <cellStyle name="Normal 81 9 3 4" xfId="8081"/>
    <cellStyle name="Normal 81 9 3 5" xfId="8082"/>
    <cellStyle name="Normal 81 9 4" xfId="8083"/>
    <cellStyle name="Normal 81 9 4 2" xfId="8084"/>
    <cellStyle name="Normal 81 9 4 3" xfId="8085"/>
    <cellStyle name="Normal 81 9 4 4" xfId="8086"/>
    <cellStyle name="Normal 81 9 4 5" xfId="8087"/>
    <cellStyle name="Normal 81 9 5" xfId="8088"/>
    <cellStyle name="Normal 81 9 6" xfId="8089"/>
    <cellStyle name="Normal 81 9 7" xfId="8090"/>
    <cellStyle name="Normal 81 9 8" xfId="8091"/>
    <cellStyle name="Normal 82" xfId="8092"/>
    <cellStyle name="Normal 82 10" xfId="8093"/>
    <cellStyle name="Normal 82 10 2" xfId="8094"/>
    <cellStyle name="Normal 82 10 2 2" xfId="8095"/>
    <cellStyle name="Normal 82 10 2 3" xfId="8096"/>
    <cellStyle name="Normal 82 10 2 4" xfId="8097"/>
    <cellStyle name="Normal 82 10 2 5" xfId="8098"/>
    <cellStyle name="Normal 82 10 3" xfId="8099"/>
    <cellStyle name="Normal 82 10 3 2" xfId="8100"/>
    <cellStyle name="Normal 82 10 3 3" xfId="8101"/>
    <cellStyle name="Normal 82 10 3 4" xfId="8102"/>
    <cellStyle name="Normal 82 10 3 5" xfId="8103"/>
    <cellStyle name="Normal 82 10 4" xfId="8104"/>
    <cellStyle name="Normal 82 10 4 2" xfId="8105"/>
    <cellStyle name="Normal 82 10 4 3" xfId="8106"/>
    <cellStyle name="Normal 82 10 4 4" xfId="8107"/>
    <cellStyle name="Normal 82 10 4 5" xfId="8108"/>
    <cellStyle name="Normal 82 10 5" xfId="8109"/>
    <cellStyle name="Normal 82 10 6" xfId="8110"/>
    <cellStyle name="Normal 82 10 7" xfId="8111"/>
    <cellStyle name="Normal 82 10 8" xfId="8112"/>
    <cellStyle name="Normal 82 11" xfId="8113"/>
    <cellStyle name="Normal 82 11 2" xfId="8114"/>
    <cellStyle name="Normal 82 11 2 2" xfId="8115"/>
    <cellStyle name="Normal 82 11 2 3" xfId="8116"/>
    <cellStyle name="Normal 82 11 2 4" xfId="8117"/>
    <cellStyle name="Normal 82 11 2 5" xfId="8118"/>
    <cellStyle name="Normal 82 11 3" xfId="8119"/>
    <cellStyle name="Normal 82 11 3 2" xfId="8120"/>
    <cellStyle name="Normal 82 11 3 3" xfId="8121"/>
    <cellStyle name="Normal 82 11 3 4" xfId="8122"/>
    <cellStyle name="Normal 82 11 3 5" xfId="8123"/>
    <cellStyle name="Normal 82 11 4" xfId="8124"/>
    <cellStyle name="Normal 82 11 4 2" xfId="8125"/>
    <cellStyle name="Normal 82 11 4 3" xfId="8126"/>
    <cellStyle name="Normal 82 11 4 4" xfId="8127"/>
    <cellStyle name="Normal 82 11 4 5" xfId="8128"/>
    <cellStyle name="Normal 82 11 5" xfId="8129"/>
    <cellStyle name="Normal 82 11 6" xfId="8130"/>
    <cellStyle name="Normal 82 11 7" xfId="8131"/>
    <cellStyle name="Normal 82 11 8" xfId="8132"/>
    <cellStyle name="Normal 82 12" xfId="8133"/>
    <cellStyle name="Normal 82 12 2" xfId="8134"/>
    <cellStyle name="Normal 82 12 3" xfId="8135"/>
    <cellStyle name="Normal 82 12 4" xfId="8136"/>
    <cellStyle name="Normal 82 12 5" xfId="8137"/>
    <cellStyle name="Normal 82 13" xfId="8138"/>
    <cellStyle name="Normal 82 13 2" xfId="8139"/>
    <cellStyle name="Normal 82 13 3" xfId="8140"/>
    <cellStyle name="Normal 82 13 4" xfId="8141"/>
    <cellStyle name="Normal 82 13 5" xfId="8142"/>
    <cellStyle name="Normal 82 14" xfId="8143"/>
    <cellStyle name="Normal 82 14 2" xfId="8144"/>
    <cellStyle name="Normal 82 14 3" xfId="8145"/>
    <cellStyle name="Normal 82 14 4" xfId="8146"/>
    <cellStyle name="Normal 82 14 5" xfId="8147"/>
    <cellStyle name="Normal 82 15" xfId="8148"/>
    <cellStyle name="Normal 82 16" xfId="8149"/>
    <cellStyle name="Normal 82 17" xfId="8150"/>
    <cellStyle name="Normal 82 18" xfId="8151"/>
    <cellStyle name="Normal 82 2" xfId="8152"/>
    <cellStyle name="Normal 82 2 2" xfId="8153"/>
    <cellStyle name="Normal 82 2 2 2" xfId="8154"/>
    <cellStyle name="Normal 82 2 2 3" xfId="8155"/>
    <cellStyle name="Normal 82 2 2 4" xfId="8156"/>
    <cellStyle name="Normal 82 2 2 5" xfId="8157"/>
    <cellStyle name="Normal 82 2 3" xfId="8158"/>
    <cellStyle name="Normal 82 2 3 2" xfId="8159"/>
    <cellStyle name="Normal 82 2 3 3" xfId="8160"/>
    <cellStyle name="Normal 82 2 3 4" xfId="8161"/>
    <cellStyle name="Normal 82 2 3 5" xfId="8162"/>
    <cellStyle name="Normal 82 2 4" xfId="8163"/>
    <cellStyle name="Normal 82 2 4 2" xfId="8164"/>
    <cellStyle name="Normal 82 2 4 3" xfId="8165"/>
    <cellStyle name="Normal 82 2 4 4" xfId="8166"/>
    <cellStyle name="Normal 82 2 4 5" xfId="8167"/>
    <cellStyle name="Normal 82 2 5" xfId="8168"/>
    <cellStyle name="Normal 82 2 6" xfId="8169"/>
    <cellStyle name="Normal 82 2 7" xfId="8170"/>
    <cellStyle name="Normal 82 2 8" xfId="8171"/>
    <cellStyle name="Normal 82 3" xfId="8172"/>
    <cellStyle name="Normal 82 3 2" xfId="8173"/>
    <cellStyle name="Normal 82 3 2 2" xfId="8174"/>
    <cellStyle name="Normal 82 3 2 3" xfId="8175"/>
    <cellStyle name="Normal 82 3 2 4" xfId="8176"/>
    <cellStyle name="Normal 82 3 2 5" xfId="8177"/>
    <cellStyle name="Normal 82 3 3" xfId="8178"/>
    <cellStyle name="Normal 82 3 3 2" xfId="8179"/>
    <cellStyle name="Normal 82 3 3 3" xfId="8180"/>
    <cellStyle name="Normal 82 3 3 4" xfId="8181"/>
    <cellStyle name="Normal 82 3 3 5" xfId="8182"/>
    <cellStyle name="Normal 82 3 4" xfId="8183"/>
    <cellStyle name="Normal 82 3 4 2" xfId="8184"/>
    <cellStyle name="Normal 82 3 4 3" xfId="8185"/>
    <cellStyle name="Normal 82 3 4 4" xfId="8186"/>
    <cellStyle name="Normal 82 3 4 5" xfId="8187"/>
    <cellStyle name="Normal 82 3 5" xfId="8188"/>
    <cellStyle name="Normal 82 3 6" xfId="8189"/>
    <cellStyle name="Normal 82 3 7" xfId="8190"/>
    <cellStyle name="Normal 82 3 8" xfId="8191"/>
    <cellStyle name="Normal 82 4" xfId="8192"/>
    <cellStyle name="Normal 82 4 2" xfId="8193"/>
    <cellStyle name="Normal 82 4 2 2" xfId="8194"/>
    <cellStyle name="Normal 82 4 2 3" xfId="8195"/>
    <cellStyle name="Normal 82 4 2 4" xfId="8196"/>
    <cellStyle name="Normal 82 4 2 5" xfId="8197"/>
    <cellStyle name="Normal 82 4 3" xfId="8198"/>
    <cellStyle name="Normal 82 4 3 2" xfId="8199"/>
    <cellStyle name="Normal 82 4 3 3" xfId="8200"/>
    <cellStyle name="Normal 82 4 3 4" xfId="8201"/>
    <cellStyle name="Normal 82 4 3 5" xfId="8202"/>
    <cellStyle name="Normal 82 4 4" xfId="8203"/>
    <cellStyle name="Normal 82 4 4 2" xfId="8204"/>
    <cellStyle name="Normal 82 4 4 3" xfId="8205"/>
    <cellStyle name="Normal 82 4 4 4" xfId="8206"/>
    <cellStyle name="Normal 82 4 4 5" xfId="8207"/>
    <cellStyle name="Normal 82 4 5" xfId="8208"/>
    <cellStyle name="Normal 82 4 6" xfId="8209"/>
    <cellStyle name="Normal 82 4 7" xfId="8210"/>
    <cellStyle name="Normal 82 4 8" xfId="8211"/>
    <cellStyle name="Normal 82 5" xfId="8212"/>
    <cellStyle name="Normal 82 5 2" xfId="8213"/>
    <cellStyle name="Normal 82 5 2 2" xfId="8214"/>
    <cellStyle name="Normal 82 5 2 3" xfId="8215"/>
    <cellStyle name="Normal 82 5 2 4" xfId="8216"/>
    <cellStyle name="Normal 82 5 2 5" xfId="8217"/>
    <cellStyle name="Normal 82 5 3" xfId="8218"/>
    <cellStyle name="Normal 82 5 3 2" xfId="8219"/>
    <cellStyle name="Normal 82 5 3 3" xfId="8220"/>
    <cellStyle name="Normal 82 5 3 4" xfId="8221"/>
    <cellStyle name="Normal 82 5 3 5" xfId="8222"/>
    <cellStyle name="Normal 82 5 4" xfId="8223"/>
    <cellStyle name="Normal 82 5 4 2" xfId="8224"/>
    <cellStyle name="Normal 82 5 4 3" xfId="8225"/>
    <cellStyle name="Normal 82 5 4 4" xfId="8226"/>
    <cellStyle name="Normal 82 5 4 5" xfId="8227"/>
    <cellStyle name="Normal 82 5 5" xfId="8228"/>
    <cellStyle name="Normal 82 5 6" xfId="8229"/>
    <cellStyle name="Normal 82 5 7" xfId="8230"/>
    <cellStyle name="Normal 82 5 8" xfId="8231"/>
    <cellStyle name="Normal 82 6" xfId="8232"/>
    <cellStyle name="Normal 82 6 2" xfId="8233"/>
    <cellStyle name="Normal 82 6 2 2" xfId="8234"/>
    <cellStyle name="Normal 82 6 2 3" xfId="8235"/>
    <cellStyle name="Normal 82 6 2 4" xfId="8236"/>
    <cellStyle name="Normal 82 6 2 5" xfId="8237"/>
    <cellStyle name="Normal 82 6 3" xfId="8238"/>
    <cellStyle name="Normal 82 6 3 2" xfId="8239"/>
    <cellStyle name="Normal 82 6 3 3" xfId="8240"/>
    <cellStyle name="Normal 82 6 3 4" xfId="8241"/>
    <cellStyle name="Normal 82 6 3 5" xfId="8242"/>
    <cellStyle name="Normal 82 6 4" xfId="8243"/>
    <cellStyle name="Normal 82 6 4 2" xfId="8244"/>
    <cellStyle name="Normal 82 6 4 3" xfId="8245"/>
    <cellStyle name="Normal 82 6 4 4" xfId="8246"/>
    <cellStyle name="Normal 82 6 4 5" xfId="8247"/>
    <cellStyle name="Normal 82 6 5" xfId="8248"/>
    <cellStyle name="Normal 82 6 6" xfId="8249"/>
    <cellStyle name="Normal 82 6 7" xfId="8250"/>
    <cellStyle name="Normal 82 6 8" xfId="8251"/>
    <cellStyle name="Normal 82 7" xfId="8252"/>
    <cellStyle name="Normal 82 7 2" xfId="8253"/>
    <cellStyle name="Normal 82 7 2 2" xfId="8254"/>
    <cellStyle name="Normal 82 7 2 3" xfId="8255"/>
    <cellStyle name="Normal 82 7 2 4" xfId="8256"/>
    <cellStyle name="Normal 82 7 2 5" xfId="8257"/>
    <cellStyle name="Normal 82 7 3" xfId="8258"/>
    <cellStyle name="Normal 82 7 3 2" xfId="8259"/>
    <cellStyle name="Normal 82 7 3 3" xfId="8260"/>
    <cellStyle name="Normal 82 7 3 4" xfId="8261"/>
    <cellStyle name="Normal 82 7 3 5" xfId="8262"/>
    <cellStyle name="Normal 82 7 4" xfId="8263"/>
    <cellStyle name="Normal 82 7 4 2" xfId="8264"/>
    <cellStyle name="Normal 82 7 4 3" xfId="8265"/>
    <cellStyle name="Normal 82 7 4 4" xfId="8266"/>
    <cellStyle name="Normal 82 7 4 5" xfId="8267"/>
    <cellStyle name="Normal 82 7 5" xfId="8268"/>
    <cellStyle name="Normal 82 7 6" xfId="8269"/>
    <cellStyle name="Normal 82 7 7" xfId="8270"/>
    <cellStyle name="Normal 82 7 8" xfId="8271"/>
    <cellStyle name="Normal 82 8" xfId="8272"/>
    <cellStyle name="Normal 82 8 2" xfId="8273"/>
    <cellStyle name="Normal 82 8 2 2" xfId="8274"/>
    <cellStyle name="Normal 82 8 2 3" xfId="8275"/>
    <cellStyle name="Normal 82 8 2 4" xfId="8276"/>
    <cellStyle name="Normal 82 8 2 5" xfId="8277"/>
    <cellStyle name="Normal 82 8 3" xfId="8278"/>
    <cellStyle name="Normal 82 8 3 2" xfId="8279"/>
    <cellStyle name="Normal 82 8 3 3" xfId="8280"/>
    <cellStyle name="Normal 82 8 3 4" xfId="8281"/>
    <cellStyle name="Normal 82 8 3 5" xfId="8282"/>
    <cellStyle name="Normal 82 8 4" xfId="8283"/>
    <cellStyle name="Normal 82 8 4 2" xfId="8284"/>
    <cellStyle name="Normal 82 8 4 3" xfId="8285"/>
    <cellStyle name="Normal 82 8 4 4" xfId="8286"/>
    <cellStyle name="Normal 82 8 4 5" xfId="8287"/>
    <cellStyle name="Normal 82 8 5" xfId="8288"/>
    <cellStyle name="Normal 82 8 6" xfId="8289"/>
    <cellStyle name="Normal 82 8 7" xfId="8290"/>
    <cellStyle name="Normal 82 8 8" xfId="8291"/>
    <cellStyle name="Normal 82 9" xfId="8292"/>
    <cellStyle name="Normal 82 9 2" xfId="8293"/>
    <cellStyle name="Normal 82 9 2 2" xfId="8294"/>
    <cellStyle name="Normal 82 9 2 3" xfId="8295"/>
    <cellStyle name="Normal 82 9 2 4" xfId="8296"/>
    <cellStyle name="Normal 82 9 2 5" xfId="8297"/>
    <cellStyle name="Normal 82 9 3" xfId="8298"/>
    <cellStyle name="Normal 82 9 3 2" xfId="8299"/>
    <cellStyle name="Normal 82 9 3 3" xfId="8300"/>
    <cellStyle name="Normal 82 9 3 4" xfId="8301"/>
    <cellStyle name="Normal 82 9 3 5" xfId="8302"/>
    <cellStyle name="Normal 82 9 4" xfId="8303"/>
    <cellStyle name="Normal 82 9 4 2" xfId="8304"/>
    <cellStyle name="Normal 82 9 4 3" xfId="8305"/>
    <cellStyle name="Normal 82 9 4 4" xfId="8306"/>
    <cellStyle name="Normal 82 9 4 5" xfId="8307"/>
    <cellStyle name="Normal 82 9 5" xfId="8308"/>
    <cellStyle name="Normal 82 9 6" xfId="8309"/>
    <cellStyle name="Normal 82 9 7" xfId="8310"/>
    <cellStyle name="Normal 82 9 8" xfId="8311"/>
    <cellStyle name="Normal 83" xfId="8312"/>
    <cellStyle name="Normal 83 10" xfId="8313"/>
    <cellStyle name="Normal 83 10 2" xfId="8314"/>
    <cellStyle name="Normal 83 10 2 2" xfId="8315"/>
    <cellStyle name="Normal 83 10 2 3" xfId="8316"/>
    <cellStyle name="Normal 83 10 2 4" xfId="8317"/>
    <cellStyle name="Normal 83 10 2 5" xfId="8318"/>
    <cellStyle name="Normal 83 10 3" xfId="8319"/>
    <cellStyle name="Normal 83 10 3 2" xfId="8320"/>
    <cellStyle name="Normal 83 10 3 3" xfId="8321"/>
    <cellStyle name="Normal 83 10 3 4" xfId="8322"/>
    <cellStyle name="Normal 83 10 3 5" xfId="8323"/>
    <cellStyle name="Normal 83 10 4" xfId="8324"/>
    <cellStyle name="Normal 83 10 4 2" xfId="8325"/>
    <cellStyle name="Normal 83 10 4 3" xfId="8326"/>
    <cellStyle name="Normal 83 10 4 4" xfId="8327"/>
    <cellStyle name="Normal 83 10 4 5" xfId="8328"/>
    <cellStyle name="Normal 83 10 5" xfId="8329"/>
    <cellStyle name="Normal 83 10 6" xfId="8330"/>
    <cellStyle name="Normal 83 10 7" xfId="8331"/>
    <cellStyle name="Normal 83 10 8" xfId="8332"/>
    <cellStyle name="Normal 83 11" xfId="8333"/>
    <cellStyle name="Normal 83 11 2" xfId="8334"/>
    <cellStyle name="Normal 83 11 2 2" xfId="8335"/>
    <cellStyle name="Normal 83 11 2 3" xfId="8336"/>
    <cellStyle name="Normal 83 11 2 4" xfId="8337"/>
    <cellStyle name="Normal 83 11 2 5" xfId="8338"/>
    <cellStyle name="Normal 83 11 3" xfId="8339"/>
    <cellStyle name="Normal 83 11 3 2" xfId="8340"/>
    <cellStyle name="Normal 83 11 3 3" xfId="8341"/>
    <cellStyle name="Normal 83 11 3 4" xfId="8342"/>
    <cellStyle name="Normal 83 11 3 5" xfId="8343"/>
    <cellStyle name="Normal 83 11 4" xfId="8344"/>
    <cellStyle name="Normal 83 11 4 2" xfId="8345"/>
    <cellStyle name="Normal 83 11 4 3" xfId="8346"/>
    <cellStyle name="Normal 83 11 4 4" xfId="8347"/>
    <cellStyle name="Normal 83 11 4 5" xfId="8348"/>
    <cellStyle name="Normal 83 11 5" xfId="8349"/>
    <cellStyle name="Normal 83 11 6" xfId="8350"/>
    <cellStyle name="Normal 83 11 7" xfId="8351"/>
    <cellStyle name="Normal 83 11 8" xfId="8352"/>
    <cellStyle name="Normal 83 12" xfId="8353"/>
    <cellStyle name="Normal 83 12 2" xfId="8354"/>
    <cellStyle name="Normal 83 12 3" xfId="8355"/>
    <cellStyle name="Normal 83 12 4" xfId="8356"/>
    <cellStyle name="Normal 83 12 5" xfId="8357"/>
    <cellStyle name="Normal 83 13" xfId="8358"/>
    <cellStyle name="Normal 83 13 2" xfId="8359"/>
    <cellStyle name="Normal 83 13 3" xfId="8360"/>
    <cellStyle name="Normal 83 13 4" xfId="8361"/>
    <cellStyle name="Normal 83 13 5" xfId="8362"/>
    <cellStyle name="Normal 83 14" xfId="8363"/>
    <cellStyle name="Normal 83 14 2" xfId="8364"/>
    <cellStyle name="Normal 83 14 3" xfId="8365"/>
    <cellStyle name="Normal 83 14 4" xfId="8366"/>
    <cellStyle name="Normal 83 14 5" xfId="8367"/>
    <cellStyle name="Normal 83 15" xfId="8368"/>
    <cellStyle name="Normal 83 16" xfId="8369"/>
    <cellStyle name="Normal 83 17" xfId="8370"/>
    <cellStyle name="Normal 83 18" xfId="8371"/>
    <cellStyle name="Normal 83 2" xfId="8372"/>
    <cellStyle name="Normal 83 2 2" xfId="8373"/>
    <cellStyle name="Normal 83 2 2 2" xfId="8374"/>
    <cellStyle name="Normal 83 2 2 3" xfId="8375"/>
    <cellStyle name="Normal 83 2 2 4" xfId="8376"/>
    <cellStyle name="Normal 83 2 2 5" xfId="8377"/>
    <cellStyle name="Normal 83 2 3" xfId="8378"/>
    <cellStyle name="Normal 83 2 3 2" xfId="8379"/>
    <cellStyle name="Normal 83 2 3 3" xfId="8380"/>
    <cellStyle name="Normal 83 2 3 4" xfId="8381"/>
    <cellStyle name="Normal 83 2 3 5" xfId="8382"/>
    <cellStyle name="Normal 83 2 4" xfId="8383"/>
    <cellStyle name="Normal 83 2 4 2" xfId="8384"/>
    <cellStyle name="Normal 83 2 4 3" xfId="8385"/>
    <cellStyle name="Normal 83 2 4 4" xfId="8386"/>
    <cellStyle name="Normal 83 2 4 5" xfId="8387"/>
    <cellStyle name="Normal 83 2 5" xfId="8388"/>
    <cellStyle name="Normal 83 2 6" xfId="8389"/>
    <cellStyle name="Normal 83 2 7" xfId="8390"/>
    <cellStyle name="Normal 83 2 8" xfId="8391"/>
    <cellStyle name="Normal 83 3" xfId="8392"/>
    <cellStyle name="Normal 83 3 2" xfId="8393"/>
    <cellStyle name="Normal 83 3 2 2" xfId="8394"/>
    <cellStyle name="Normal 83 3 2 3" xfId="8395"/>
    <cellStyle name="Normal 83 3 2 4" xfId="8396"/>
    <cellStyle name="Normal 83 3 2 5" xfId="8397"/>
    <cellStyle name="Normal 83 3 3" xfId="8398"/>
    <cellStyle name="Normal 83 3 3 2" xfId="8399"/>
    <cellStyle name="Normal 83 3 3 3" xfId="8400"/>
    <cellStyle name="Normal 83 3 3 4" xfId="8401"/>
    <cellStyle name="Normal 83 3 3 5" xfId="8402"/>
    <cellStyle name="Normal 83 3 4" xfId="8403"/>
    <cellStyle name="Normal 83 3 4 2" xfId="8404"/>
    <cellStyle name="Normal 83 3 4 3" xfId="8405"/>
    <cellStyle name="Normal 83 3 4 4" xfId="8406"/>
    <cellStyle name="Normal 83 3 4 5" xfId="8407"/>
    <cellStyle name="Normal 83 3 5" xfId="8408"/>
    <cellStyle name="Normal 83 3 6" xfId="8409"/>
    <cellStyle name="Normal 83 3 7" xfId="8410"/>
    <cellStyle name="Normal 83 3 8" xfId="8411"/>
    <cellStyle name="Normal 83 4" xfId="8412"/>
    <cellStyle name="Normal 83 4 2" xfId="8413"/>
    <cellStyle name="Normal 83 4 2 2" xfId="8414"/>
    <cellStyle name="Normal 83 4 2 3" xfId="8415"/>
    <cellStyle name="Normal 83 4 2 4" xfId="8416"/>
    <cellStyle name="Normal 83 4 2 5" xfId="8417"/>
    <cellStyle name="Normal 83 4 3" xfId="8418"/>
    <cellStyle name="Normal 83 4 3 2" xfId="8419"/>
    <cellStyle name="Normal 83 4 3 3" xfId="8420"/>
    <cellStyle name="Normal 83 4 3 4" xfId="8421"/>
    <cellStyle name="Normal 83 4 3 5" xfId="8422"/>
    <cellStyle name="Normal 83 4 4" xfId="8423"/>
    <cellStyle name="Normal 83 4 4 2" xfId="8424"/>
    <cellStyle name="Normal 83 4 4 3" xfId="8425"/>
    <cellStyle name="Normal 83 4 4 4" xfId="8426"/>
    <cellStyle name="Normal 83 4 4 5" xfId="8427"/>
    <cellStyle name="Normal 83 4 5" xfId="8428"/>
    <cellStyle name="Normal 83 4 6" xfId="8429"/>
    <cellStyle name="Normal 83 4 7" xfId="8430"/>
    <cellStyle name="Normal 83 4 8" xfId="8431"/>
    <cellStyle name="Normal 83 5" xfId="8432"/>
    <cellStyle name="Normal 83 5 2" xfId="8433"/>
    <cellStyle name="Normal 83 5 2 2" xfId="8434"/>
    <cellStyle name="Normal 83 5 2 3" xfId="8435"/>
    <cellStyle name="Normal 83 5 2 4" xfId="8436"/>
    <cellStyle name="Normal 83 5 2 5" xfId="8437"/>
    <cellStyle name="Normal 83 5 3" xfId="8438"/>
    <cellStyle name="Normal 83 5 3 2" xfId="8439"/>
    <cellStyle name="Normal 83 5 3 3" xfId="8440"/>
    <cellStyle name="Normal 83 5 3 4" xfId="8441"/>
    <cellStyle name="Normal 83 5 3 5" xfId="8442"/>
    <cellStyle name="Normal 83 5 4" xfId="8443"/>
    <cellStyle name="Normal 83 5 4 2" xfId="8444"/>
    <cellStyle name="Normal 83 5 4 3" xfId="8445"/>
    <cellStyle name="Normal 83 5 4 4" xfId="8446"/>
    <cellStyle name="Normal 83 5 4 5" xfId="8447"/>
    <cellStyle name="Normal 83 5 5" xfId="8448"/>
    <cellStyle name="Normal 83 5 6" xfId="8449"/>
    <cellStyle name="Normal 83 5 7" xfId="8450"/>
    <cellStyle name="Normal 83 5 8" xfId="8451"/>
    <cellStyle name="Normal 83 6" xfId="8452"/>
    <cellStyle name="Normal 83 6 2" xfId="8453"/>
    <cellStyle name="Normal 83 6 2 2" xfId="8454"/>
    <cellStyle name="Normal 83 6 2 3" xfId="8455"/>
    <cellStyle name="Normal 83 6 2 4" xfId="8456"/>
    <cellStyle name="Normal 83 6 2 5" xfId="8457"/>
    <cellStyle name="Normal 83 6 3" xfId="8458"/>
    <cellStyle name="Normal 83 6 3 2" xfId="8459"/>
    <cellStyle name="Normal 83 6 3 3" xfId="8460"/>
    <cellStyle name="Normal 83 6 3 4" xfId="8461"/>
    <cellStyle name="Normal 83 6 3 5" xfId="8462"/>
    <cellStyle name="Normal 83 6 4" xfId="8463"/>
    <cellStyle name="Normal 83 6 4 2" xfId="8464"/>
    <cellStyle name="Normal 83 6 4 3" xfId="8465"/>
    <cellStyle name="Normal 83 6 4 4" xfId="8466"/>
    <cellStyle name="Normal 83 6 4 5" xfId="8467"/>
    <cellStyle name="Normal 83 6 5" xfId="8468"/>
    <cellStyle name="Normal 83 6 6" xfId="8469"/>
    <cellStyle name="Normal 83 6 7" xfId="8470"/>
    <cellStyle name="Normal 83 6 8" xfId="8471"/>
    <cellStyle name="Normal 83 7" xfId="8472"/>
    <cellStyle name="Normal 83 7 2" xfId="8473"/>
    <cellStyle name="Normal 83 7 2 2" xfId="8474"/>
    <cellStyle name="Normal 83 7 2 3" xfId="8475"/>
    <cellStyle name="Normal 83 7 2 4" xfId="8476"/>
    <cellStyle name="Normal 83 7 2 5" xfId="8477"/>
    <cellStyle name="Normal 83 7 3" xfId="8478"/>
    <cellStyle name="Normal 83 7 3 2" xfId="8479"/>
    <cellStyle name="Normal 83 7 3 3" xfId="8480"/>
    <cellStyle name="Normal 83 7 3 4" xfId="8481"/>
    <cellStyle name="Normal 83 7 3 5" xfId="8482"/>
    <cellStyle name="Normal 83 7 4" xfId="8483"/>
    <cellStyle name="Normal 83 7 4 2" xfId="8484"/>
    <cellStyle name="Normal 83 7 4 3" xfId="8485"/>
    <cellStyle name="Normal 83 7 4 4" xfId="8486"/>
    <cellStyle name="Normal 83 7 4 5" xfId="8487"/>
    <cellStyle name="Normal 83 7 5" xfId="8488"/>
    <cellStyle name="Normal 83 7 6" xfId="8489"/>
    <cellStyle name="Normal 83 7 7" xfId="8490"/>
    <cellStyle name="Normal 83 7 8" xfId="8491"/>
    <cellStyle name="Normal 83 8" xfId="8492"/>
    <cellStyle name="Normal 83 8 2" xfId="8493"/>
    <cellStyle name="Normal 83 8 2 2" xfId="8494"/>
    <cellStyle name="Normal 83 8 2 3" xfId="8495"/>
    <cellStyle name="Normal 83 8 2 4" xfId="8496"/>
    <cellStyle name="Normal 83 8 2 5" xfId="8497"/>
    <cellStyle name="Normal 83 8 3" xfId="8498"/>
    <cellStyle name="Normal 83 8 3 2" xfId="8499"/>
    <cellStyle name="Normal 83 8 3 3" xfId="8500"/>
    <cellStyle name="Normal 83 8 3 4" xfId="8501"/>
    <cellStyle name="Normal 83 8 3 5" xfId="8502"/>
    <cellStyle name="Normal 83 8 4" xfId="8503"/>
    <cellStyle name="Normal 83 8 4 2" xfId="8504"/>
    <cellStyle name="Normal 83 8 4 3" xfId="8505"/>
    <cellStyle name="Normal 83 8 4 4" xfId="8506"/>
    <cellStyle name="Normal 83 8 4 5" xfId="8507"/>
    <cellStyle name="Normal 83 8 5" xfId="8508"/>
    <cellStyle name="Normal 83 8 6" xfId="8509"/>
    <cellStyle name="Normal 83 8 7" xfId="8510"/>
    <cellStyle name="Normal 83 8 8" xfId="8511"/>
    <cellStyle name="Normal 83 9" xfId="8512"/>
    <cellStyle name="Normal 83 9 2" xfId="8513"/>
    <cellStyle name="Normal 83 9 2 2" xfId="8514"/>
    <cellStyle name="Normal 83 9 2 3" xfId="8515"/>
    <cellStyle name="Normal 83 9 2 4" xfId="8516"/>
    <cellStyle name="Normal 83 9 2 5" xfId="8517"/>
    <cellStyle name="Normal 83 9 3" xfId="8518"/>
    <cellStyle name="Normal 83 9 3 2" xfId="8519"/>
    <cellStyle name="Normal 83 9 3 3" xfId="8520"/>
    <cellStyle name="Normal 83 9 3 4" xfId="8521"/>
    <cellStyle name="Normal 83 9 3 5" xfId="8522"/>
    <cellStyle name="Normal 83 9 4" xfId="8523"/>
    <cellStyle name="Normal 83 9 4 2" xfId="8524"/>
    <cellStyle name="Normal 83 9 4 3" xfId="8525"/>
    <cellStyle name="Normal 83 9 4 4" xfId="8526"/>
    <cellStyle name="Normal 83 9 4 5" xfId="8527"/>
    <cellStyle name="Normal 83 9 5" xfId="8528"/>
    <cellStyle name="Normal 83 9 6" xfId="8529"/>
    <cellStyle name="Normal 83 9 7" xfId="8530"/>
    <cellStyle name="Normal 83 9 8" xfId="8531"/>
    <cellStyle name="Normal 84" xfId="8532"/>
    <cellStyle name="Normal 85" xfId="8533"/>
    <cellStyle name="Normal 86" xfId="8534"/>
    <cellStyle name="Normal 87" xfId="8535"/>
    <cellStyle name="Normal 88" xfId="8536"/>
    <cellStyle name="Normal 89" xfId="8537"/>
    <cellStyle name="Normal 9" xfId="8538"/>
    <cellStyle name="Normal 9 10" xfId="8539"/>
    <cellStyle name="Normal 9 11" xfId="8540"/>
    <cellStyle name="Normal 9 12" xfId="8541"/>
    <cellStyle name="Normal 9 13" xfId="8542"/>
    <cellStyle name="Normal 9 14" xfId="8543"/>
    <cellStyle name="Normal 9 15" xfId="8544"/>
    <cellStyle name="Normal 9 16" xfId="8545"/>
    <cellStyle name="Normal 9 17" xfId="8546"/>
    <cellStyle name="Normal 9 18" xfId="8547"/>
    <cellStyle name="Normal 9 19" xfId="8548"/>
    <cellStyle name="Normal 9 2" xfId="8549"/>
    <cellStyle name="Normal 9 2 2" xfId="8550"/>
    <cellStyle name="Normal 9 20" xfId="8551"/>
    <cellStyle name="Normal 9 3" xfId="8552"/>
    <cellStyle name="Normal 9 3 2" xfId="8553"/>
    <cellStyle name="Normal 9 4" xfId="8554"/>
    <cellStyle name="Normal 9 5" xfId="8555"/>
    <cellStyle name="Normal 9 6" xfId="8556"/>
    <cellStyle name="Normal 9 7" xfId="8557"/>
    <cellStyle name="Normal 9 8" xfId="8558"/>
    <cellStyle name="Normal 9 9" xfId="8559"/>
    <cellStyle name="Normal 90" xfId="8560"/>
    <cellStyle name="Normal 90 10" xfId="8561"/>
    <cellStyle name="Normal 90 2" xfId="8562"/>
    <cellStyle name="Normal 90 3" xfId="8563"/>
    <cellStyle name="Normal 90 4" xfId="8564"/>
    <cellStyle name="Normal 90 5" xfId="8565"/>
    <cellStyle name="Normal 90 6" xfId="8566"/>
    <cellStyle name="Normal 90 7" xfId="8567"/>
    <cellStyle name="Normal 90 8" xfId="8568"/>
    <cellStyle name="Normal 90 9" xfId="8569"/>
    <cellStyle name="Normal 91" xfId="8570"/>
    <cellStyle name="Normal 92" xfId="8571"/>
    <cellStyle name="Normal 93" xfId="8572"/>
    <cellStyle name="Normal 94" xfId="8573"/>
    <cellStyle name="Normal 94 2" xfId="8574"/>
    <cellStyle name="Normal 94 2 2" xfId="8575"/>
    <cellStyle name="Normal 94 2 3" xfId="8576"/>
    <cellStyle name="Normal 94 2 4" xfId="8577"/>
    <cellStyle name="Normal 94 2 5" xfId="8578"/>
    <cellStyle name="Normal 94 3" xfId="8579"/>
    <cellStyle name="Normal 94 3 2" xfId="8580"/>
    <cellStyle name="Normal 94 3 3" xfId="8581"/>
    <cellStyle name="Normal 94 3 4" xfId="8582"/>
    <cellStyle name="Normal 94 3 5" xfId="8583"/>
    <cellStyle name="Normal 94 4" xfId="8584"/>
    <cellStyle name="Normal 94 4 2" xfId="8585"/>
    <cellStyle name="Normal 94 4 3" xfId="8586"/>
    <cellStyle name="Normal 94 4 4" xfId="8587"/>
    <cellStyle name="Normal 94 4 5" xfId="8588"/>
    <cellStyle name="Normal 94 5" xfId="8589"/>
    <cellStyle name="Normal 94 6" xfId="8590"/>
    <cellStyle name="Normal 94 7" xfId="8591"/>
    <cellStyle name="Normal 94 8" xfId="8592"/>
    <cellStyle name="Normal 94 9" xfId="8593"/>
    <cellStyle name="Normal 95" xfId="8594"/>
    <cellStyle name="Normal 95 2" xfId="8595"/>
    <cellStyle name="Normal 95 2 2" xfId="8596"/>
    <cellStyle name="Normal 95 2 3" xfId="8597"/>
    <cellStyle name="Normal 95 2 4" xfId="8598"/>
    <cellStyle name="Normal 95 2 5" xfId="8599"/>
    <cellStyle name="Normal 95 3" xfId="8600"/>
    <cellStyle name="Normal 95 3 2" xfId="8601"/>
    <cellStyle name="Normal 95 3 3" xfId="8602"/>
    <cellStyle name="Normal 95 3 4" xfId="8603"/>
    <cellStyle name="Normal 95 3 5" xfId="8604"/>
    <cellStyle name="Normal 95 4" xfId="8605"/>
    <cellStyle name="Normal 95 4 2" xfId="8606"/>
    <cellStyle name="Normal 95 4 3" xfId="8607"/>
    <cellStyle name="Normal 95 4 4" xfId="8608"/>
    <cellStyle name="Normal 95 4 5" xfId="8609"/>
    <cellStyle name="Normal 95 5" xfId="8610"/>
    <cellStyle name="Normal 95 6" xfId="8611"/>
    <cellStyle name="Normal 95 7" xfId="8612"/>
    <cellStyle name="Normal 95 8" xfId="8613"/>
    <cellStyle name="Normal 95 9" xfId="8614"/>
    <cellStyle name="Normal 96" xfId="8615"/>
    <cellStyle name="Normal 96 2" xfId="8616"/>
    <cellStyle name="Normal 96 3" xfId="8617"/>
    <cellStyle name="Normal 96 4" xfId="8618"/>
    <cellStyle name="Normal 96 5" xfId="8619"/>
    <cellStyle name="Normal 96 6" xfId="8620"/>
    <cellStyle name="Normal 97" xfId="8621"/>
    <cellStyle name="Normal 97 2" xfId="8622"/>
    <cellStyle name="Normal 97 3" xfId="8623"/>
    <cellStyle name="Normal 97 4" xfId="8624"/>
    <cellStyle name="Normal 97 5" xfId="8625"/>
    <cellStyle name="Normal 97 6" xfId="8626"/>
    <cellStyle name="Normal 98" xfId="8627"/>
    <cellStyle name="Normal 98 2" xfId="8628"/>
    <cellStyle name="Normal 98 3" xfId="8629"/>
    <cellStyle name="Normal 98 4" xfId="8630"/>
    <cellStyle name="Normal 98 5" xfId="8631"/>
    <cellStyle name="Normal 99" xfId="8632"/>
    <cellStyle name="Normal 99 2" xfId="8633"/>
    <cellStyle name="Normal 99 3" xfId="8634"/>
    <cellStyle name="Normal 99 4" xfId="8635"/>
    <cellStyle name="Normal 99 5" xfId="86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5.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2.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0onii%20orlogiin%20tuluvlult_EETTA-201807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20Tulubluguunii%20%20tusub%20EET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40;&#1083;&#1073;&#1072;&#1076;&#1072;&#1072;&#1089;%20&#1072;&#1074;&#1089;&#1072;&#1085;/&#1058;&#1257;&#1089;&#1074;&#1080;&#1081;&#1085;%20&#1090;&#1257;&#1089;&#1257;&#1257;&#1083;&#1257;&#1083;-Dayarhuu,%20Badamsure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er/AppData/Local/Temp/&#1058;&#1257;&#1089;&#1074;&#1080;&#1081;&#1085;%20&#1090;&#1257;&#1089;&#1257;&#1257;&#1083;&#1257;&#1083;-&#1064;&#1072;&#1083;&#1075;&#1072;&#1083;&#1090;-20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unkh-Od/AppData/Local/Temp/Rar$DIa0.096/2020%20Tulubluguunii%20%20tusub%20EETTA-ET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40;&#1083;&#1073;&#1072;&#1076;&#1072;&#1072;&#1089;%20&#1072;&#1074;&#1089;&#1072;&#1085;/Huuchin%20jurmaar%202020%20tusu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niit orlogo"/>
      <sheetName val="тоног төхөөрөмжийн  судалгаа"/>
      <sheetName val="ЭТТШБ-д зарцуулах хугацаа"/>
      <sheetName val="ЭТТШБ-ын орлогын тооцоо"/>
      <sheetName val="эмийн бүртгэлийн тооцоо"/>
    </sheetNames>
    <sheetDataSet>
      <sheetData sheetId="0"/>
      <sheetData sheetId="1"/>
      <sheetData sheetId="2"/>
      <sheetData sheetId="3">
        <row r="20">
          <cell r="H20">
            <v>77408333.333333328</v>
          </cell>
          <cell r="K20">
            <v>61926666.666666664</v>
          </cell>
          <cell r="N20">
            <v>92890000</v>
          </cell>
        </row>
      </sheetData>
      <sheetData sheetId="4">
        <row r="13">
          <cell r="E13">
            <v>64000000</v>
          </cell>
          <cell r="H13">
            <v>47700000</v>
          </cell>
          <cell r="K13">
            <v>19000000</v>
          </cell>
        </row>
        <row r="28">
          <cell r="E28">
            <v>474000000</v>
          </cell>
          <cell r="H28">
            <v>263500000</v>
          </cell>
          <cell r="K28">
            <v>114000000</v>
          </cell>
        </row>
        <row r="43">
          <cell r="E43">
            <v>229000000</v>
          </cell>
          <cell r="H43">
            <v>161750000</v>
          </cell>
          <cell r="K43">
            <v>72000000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tusuv"/>
      <sheetName val="1.1"/>
      <sheetName val="1.2"/>
      <sheetName val="1.3"/>
      <sheetName val="1.4"/>
      <sheetName val="1.5"/>
      <sheetName val="1.6"/>
      <sheetName val="1.7"/>
      <sheetName val="1.8"/>
      <sheetName val="2.1"/>
      <sheetName val="3.1"/>
      <sheetName val="3.2"/>
      <sheetName val="4.1"/>
      <sheetName val="4.2"/>
      <sheetName val="4.3"/>
      <sheetName val="4.4"/>
      <sheetName val="4.5"/>
      <sheetName val="4.6"/>
    </sheetNames>
    <sheetDataSet>
      <sheetData sheetId="0"/>
      <sheetData sheetId="1">
        <row r="25">
          <cell r="G25">
            <v>19346000</v>
          </cell>
        </row>
      </sheetData>
      <sheetData sheetId="2">
        <row r="11">
          <cell r="L11">
            <v>5400000</v>
          </cell>
        </row>
      </sheetData>
      <sheetData sheetId="3">
        <row r="4">
          <cell r="F4">
            <v>3300000</v>
          </cell>
        </row>
      </sheetData>
      <sheetData sheetId="4">
        <row r="4">
          <cell r="F4">
            <v>24480000</v>
          </cell>
        </row>
      </sheetData>
      <sheetData sheetId="5">
        <row r="5">
          <cell r="F5">
            <v>24000000</v>
          </cell>
        </row>
      </sheetData>
      <sheetData sheetId="6">
        <row r="4">
          <cell r="F4">
            <v>15000000</v>
          </cell>
        </row>
      </sheetData>
      <sheetData sheetId="7">
        <row r="4">
          <cell r="F4">
            <v>12000000</v>
          </cell>
        </row>
      </sheetData>
      <sheetData sheetId="8">
        <row r="10">
          <cell r="F10">
            <v>280000</v>
          </cell>
        </row>
      </sheetData>
      <sheetData sheetId="9">
        <row r="7">
          <cell r="F7">
            <v>31500000</v>
          </cell>
        </row>
      </sheetData>
      <sheetData sheetId="10">
        <row r="15">
          <cell r="G15">
            <v>1482000</v>
          </cell>
        </row>
      </sheetData>
      <sheetData sheetId="11"/>
      <sheetData sheetId="12">
        <row r="17">
          <cell r="F17">
            <v>300000</v>
          </cell>
        </row>
        <row r="36">
          <cell r="G36">
            <v>5928000</v>
          </cell>
        </row>
      </sheetData>
      <sheetData sheetId="13">
        <row r="20">
          <cell r="F20">
            <v>100000</v>
          </cell>
        </row>
        <row r="41">
          <cell r="F41">
            <v>165000</v>
          </cell>
        </row>
      </sheetData>
      <sheetData sheetId="14">
        <row r="17">
          <cell r="F17">
            <v>100000</v>
          </cell>
        </row>
      </sheetData>
      <sheetData sheetId="15">
        <row r="17">
          <cell r="F17">
            <v>100000</v>
          </cell>
        </row>
      </sheetData>
      <sheetData sheetId="16">
        <row r="13">
          <cell r="H13">
            <v>4446000</v>
          </cell>
        </row>
      </sheetData>
      <sheetData sheetId="17">
        <row r="21">
          <cell r="F21">
            <v>50600</v>
          </cell>
        </row>
        <row r="42">
          <cell r="F42">
            <v>50600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sen"/>
    </sheetNames>
    <sheetDataSet>
      <sheetData sheetId="0" refreshError="1">
        <row r="16">
          <cell r="B16" t="str">
            <v>2018-2019 оны хичээлийн жилийн элсэлтийн төрөлжсөн мэргэшлийн сургалтын зардал/үргэлжлэл/</v>
          </cell>
          <cell r="C16">
            <v>61</v>
          </cell>
          <cell r="D16" t="str">
            <v>12 багц цаг</v>
          </cell>
          <cell r="E16">
            <v>16000</v>
          </cell>
          <cell r="F16">
            <v>11712000</v>
          </cell>
        </row>
        <row r="17">
          <cell r="B17" t="str">
            <v>2018-2019 оны хичээлийн жилийн элсэлтийн төрөлжсөн мэргэшлийн сургалтын зардал/үргэлжлэл/</v>
          </cell>
          <cell r="C17">
            <v>10</v>
          </cell>
          <cell r="D17" t="str">
            <v>32 багц цаг</v>
          </cell>
          <cell r="E17">
            <v>16000</v>
          </cell>
          <cell r="F17">
            <v>4320000</v>
          </cell>
        </row>
        <row r="18">
          <cell r="B18" t="str">
            <v>2018-2019 оны  хичээлийн жилийн элсэлтийн төрөлжсөн мэргэшлийн сургалтын тэтгэлэг/үргэлжлэл/</v>
          </cell>
          <cell r="C18">
            <v>61</v>
          </cell>
          <cell r="D18" t="str">
            <v>3 сар</v>
          </cell>
          <cell r="E18">
            <v>300000</v>
          </cell>
          <cell r="F18">
            <v>63900000</v>
          </cell>
        </row>
        <row r="19">
          <cell r="B19" t="str">
            <v>2018-2019 оны  хичээлийн жилийн элсэлтийн төрөлжсөн мэргэшлийн сургалтын тэтгэлэг/үргэлжлэл/</v>
          </cell>
          <cell r="C19">
            <v>10</v>
          </cell>
          <cell r="D19" t="str">
            <v>8 сар</v>
          </cell>
          <cell r="E19">
            <v>300000</v>
          </cell>
          <cell r="F19">
            <v>27000000</v>
          </cell>
        </row>
        <row r="20">
          <cell r="B20" t="str">
            <v>2019-2020 оны хичээлийн жилийн элсэлтийн  төрөлжсөн мэргэшлийн сургалтын зардал</v>
          </cell>
          <cell r="C20">
            <v>150</v>
          </cell>
          <cell r="D20">
            <v>9</v>
          </cell>
          <cell r="E20">
            <v>16000</v>
          </cell>
          <cell r="F20">
            <v>21600000</v>
          </cell>
        </row>
        <row r="21">
          <cell r="B21" t="str">
            <v>2019-2020 оны хичээлийн жилийн элсэлтийн  төрөлжсөн мэргэшлийн сургалтын тэтгэлэг</v>
          </cell>
          <cell r="C21">
            <v>150</v>
          </cell>
          <cell r="D21">
            <v>6</v>
          </cell>
          <cell r="E21">
            <v>300000</v>
          </cell>
          <cell r="F21">
            <v>405000000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лгалт"/>
    </sheetNames>
    <sheetDataSet>
      <sheetData sheetId="0" refreshError="1">
        <row r="16">
          <cell r="B16" t="str">
            <v>Томилолтын зардал /21 аймаг /</v>
          </cell>
          <cell r="C16">
            <v>21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tusuv"/>
      <sheetName val="1.1"/>
      <sheetName val="1.2"/>
      <sheetName val="1.3"/>
      <sheetName val="2.1"/>
      <sheetName val="3.1"/>
      <sheetName val="3.2"/>
      <sheetName val="4.1"/>
      <sheetName val="4.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 orlogo"/>
      <sheetName val="ETT orlogo"/>
      <sheetName val="Zarlaga"/>
      <sheetName val="ETT zarlaga"/>
      <sheetName val="negdse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hyperlink" Target="http://hinfo.mn/"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javascript:doHTTPGetLayer('PrintDetail','4273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3" Type="http://schemas.openxmlformats.org/officeDocument/2006/relationships/hyperlink" Target="http://www.gerontology.moh.mn/" TargetMode="External"/><Relationship Id="rId2" Type="http://schemas.openxmlformats.org/officeDocument/2006/relationships/hyperlink" Target="http://www.nczd.moh.gov.mn/" TargetMode="External"/><Relationship Id="rId1" Type="http://schemas.openxmlformats.org/officeDocument/2006/relationships/hyperlink" Target="http://dermatologycenter.gov.mn/" TargetMode="External"/><Relationship Id="rId5" Type="http://schemas.openxmlformats.org/officeDocument/2006/relationships/hyperlink" Target="http://pnc.mn/" TargetMode="External"/><Relationship Id="rId4" Type="http://schemas.openxmlformats.org/officeDocument/2006/relationships/hyperlink" Target="http://www.emgegsudlal.m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328"/>
  <sheetViews>
    <sheetView workbookViewId="0">
      <pane xSplit="2" ySplit="13" topLeftCell="C14" activePane="bottomRight" state="frozen"/>
      <selection pane="topRight" activeCell="C1" sqref="C1"/>
      <selection pane="bottomLeft" activeCell="A14" sqref="A14"/>
      <selection pane="bottomRight" activeCell="H21" sqref="H21"/>
    </sheetView>
  </sheetViews>
  <sheetFormatPr defaultRowHeight="12.75"/>
  <cols>
    <col min="1" max="1" width="3.85546875" style="4" customWidth="1"/>
    <col min="2" max="2" width="6.42578125" style="2" customWidth="1"/>
    <col min="3" max="3" width="50.42578125" style="5" customWidth="1"/>
    <col min="4" max="8" width="11.42578125" style="1" bestFit="1" customWidth="1"/>
    <col min="9" max="9" width="11" style="1" customWidth="1"/>
    <col min="10" max="12" width="11.42578125" style="1" bestFit="1" customWidth="1"/>
    <col min="13" max="13" width="8" style="3" bestFit="1" customWidth="1"/>
    <col min="14" max="14" width="10" style="1" hidden="1" customWidth="1"/>
    <col min="15" max="16384" width="9.140625" style="1"/>
  </cols>
  <sheetData>
    <row r="1" spans="1:15" ht="15">
      <c r="A1" s="10" t="s">
        <v>180</v>
      </c>
      <c r="B1" s="12"/>
      <c r="C1" s="13"/>
      <c r="D1" s="11"/>
      <c r="E1" s="11"/>
      <c r="F1" s="11"/>
      <c r="G1" s="11"/>
      <c r="H1" s="11"/>
      <c r="I1" s="11"/>
      <c r="J1" s="11"/>
      <c r="K1" s="11"/>
      <c r="L1" s="11"/>
      <c r="M1" s="14"/>
    </row>
    <row r="2" spans="1:15" ht="15">
      <c r="A2" s="12"/>
      <c r="B2" s="12"/>
      <c r="C2" s="15" t="s">
        <v>972</v>
      </c>
      <c r="D2" s="11"/>
      <c r="E2" s="11"/>
      <c r="F2" s="11"/>
      <c r="G2" s="11"/>
      <c r="H2" s="11"/>
      <c r="I2" s="11"/>
      <c r="J2" s="11"/>
      <c r="K2" s="11"/>
      <c r="L2" s="11"/>
      <c r="M2" s="14"/>
    </row>
    <row r="3" spans="1:15" ht="15">
      <c r="A3" s="12"/>
      <c r="B3" s="12"/>
      <c r="C3" s="13"/>
      <c r="D3" s="11"/>
      <c r="E3" s="11"/>
      <c r="F3" s="11"/>
      <c r="G3" s="11"/>
      <c r="H3" s="11"/>
      <c r="I3" s="11"/>
      <c r="J3" s="11"/>
      <c r="K3" s="11"/>
      <c r="L3" s="11"/>
      <c r="M3" s="14"/>
    </row>
    <row r="4" spans="1:15">
      <c r="A4" s="467" t="s">
        <v>161</v>
      </c>
      <c r="B4" s="467"/>
      <c r="C4" s="467"/>
      <c r="D4" s="35"/>
      <c r="E4" s="35"/>
      <c r="F4" s="35"/>
      <c r="G4" s="35"/>
      <c r="H4" s="35"/>
      <c r="I4" s="35"/>
      <c r="J4" s="35"/>
      <c r="K4" s="35"/>
      <c r="L4" s="35"/>
      <c r="M4" s="296"/>
      <c r="N4" s="35"/>
      <c r="O4" s="35"/>
    </row>
    <row r="5" spans="1:15">
      <c r="A5" s="283"/>
      <c r="B5" s="467" t="s">
        <v>234</v>
      </c>
      <c r="C5" s="467"/>
      <c r="D5" s="35"/>
      <c r="E5" s="35"/>
      <c r="F5" s="35"/>
      <c r="G5" s="35"/>
      <c r="H5" s="35"/>
      <c r="I5" s="35"/>
      <c r="J5" s="35"/>
      <c r="K5" s="35"/>
      <c r="L5" s="35"/>
      <c r="M5" s="296"/>
      <c r="N5" s="35"/>
      <c r="O5" s="35"/>
    </row>
    <row r="6" spans="1:15">
      <c r="A6" s="283"/>
      <c r="B6" s="1213" t="s">
        <v>235</v>
      </c>
      <c r="C6" s="1213"/>
      <c r="D6" s="35"/>
      <c r="E6" s="35"/>
      <c r="F6" s="35"/>
      <c r="G6" s="35"/>
      <c r="H6" s="35"/>
      <c r="I6" s="35"/>
      <c r="J6" s="35"/>
      <c r="K6" s="35"/>
      <c r="L6" s="35"/>
      <c r="M6" s="296"/>
      <c r="N6" s="35"/>
      <c r="O6" s="35"/>
    </row>
    <row r="7" spans="1:15">
      <c r="A7" s="283"/>
      <c r="B7" s="467" t="s">
        <v>165</v>
      </c>
      <c r="C7" s="467"/>
      <c r="D7" s="35"/>
      <c r="E7" s="35"/>
      <c r="F7" s="35"/>
      <c r="G7" s="35"/>
      <c r="H7" s="35"/>
      <c r="I7" s="35"/>
      <c r="J7" s="35"/>
      <c r="K7" s="35"/>
      <c r="L7" s="35"/>
      <c r="M7" s="296"/>
      <c r="N7" s="35"/>
      <c r="O7" s="35"/>
    </row>
    <row r="8" spans="1:15">
      <c r="A8" s="283"/>
      <c r="B8" s="467" t="s">
        <v>175</v>
      </c>
      <c r="C8" s="467"/>
      <c r="D8" s="35"/>
      <c r="E8" s="35"/>
      <c r="F8" s="35"/>
      <c r="G8" s="35"/>
      <c r="H8" s="35"/>
      <c r="I8" s="35"/>
      <c r="J8" s="35"/>
      <c r="K8" s="35"/>
      <c r="L8" s="35"/>
      <c r="M8" s="296"/>
      <c r="N8" s="35"/>
      <c r="O8" s="35"/>
    </row>
    <row r="9" spans="1:15">
      <c r="A9" s="283"/>
      <c r="B9" s="473" t="s">
        <v>177</v>
      </c>
      <c r="C9" s="473"/>
      <c r="D9" s="35"/>
      <c r="E9" s="35"/>
      <c r="F9" s="35"/>
      <c r="G9" s="35"/>
      <c r="H9" s="35"/>
      <c r="I9" s="35"/>
      <c r="J9" s="35"/>
      <c r="K9" s="35"/>
      <c r="L9" s="35"/>
      <c r="M9" s="297" t="s">
        <v>131</v>
      </c>
      <c r="N9" s="35"/>
      <c r="O9" s="35"/>
    </row>
    <row r="10" spans="1:15" ht="12.75" customHeight="1">
      <c r="A10" s="1220" t="s">
        <v>0</v>
      </c>
      <c r="B10" s="1221" t="s">
        <v>1</v>
      </c>
      <c r="C10" s="1221" t="s">
        <v>2</v>
      </c>
      <c r="D10" s="1222"/>
      <c r="E10" s="1222"/>
      <c r="F10" s="1222"/>
      <c r="G10" s="1222"/>
      <c r="H10" s="1222"/>
      <c r="I10" s="1222"/>
      <c r="J10" s="1222"/>
      <c r="K10" s="1222"/>
      <c r="L10" s="1222"/>
      <c r="M10" s="1222"/>
      <c r="N10" s="35"/>
      <c r="O10" s="35"/>
    </row>
    <row r="11" spans="1:15" ht="15.75" customHeight="1">
      <c r="A11" s="1220"/>
      <c r="B11" s="1221"/>
      <c r="C11" s="1221"/>
      <c r="D11" s="1221">
        <v>2018</v>
      </c>
      <c r="E11" s="1221"/>
      <c r="F11" s="1221">
        <v>2019</v>
      </c>
      <c r="G11" s="1221"/>
      <c r="H11" s="1223">
        <v>2020</v>
      </c>
      <c r="I11" s="1224"/>
      <c r="J11" s="1225"/>
      <c r="K11" s="8">
        <v>2021</v>
      </c>
      <c r="L11" s="8">
        <v>2022</v>
      </c>
      <c r="M11" s="1221" t="s">
        <v>3</v>
      </c>
      <c r="N11" s="35"/>
      <c r="O11" s="35"/>
    </row>
    <row r="12" spans="1:15" ht="36">
      <c r="A12" s="1220"/>
      <c r="B12" s="1221"/>
      <c r="C12" s="1221"/>
      <c r="D12" s="8" t="s">
        <v>4</v>
      </c>
      <c r="E12" s="8" t="s">
        <v>971</v>
      </c>
      <c r="F12" s="475" t="s">
        <v>4</v>
      </c>
      <c r="G12" s="475" t="s">
        <v>5</v>
      </c>
      <c r="H12" s="468" t="s">
        <v>6</v>
      </c>
      <c r="I12" s="468" t="s">
        <v>155</v>
      </c>
      <c r="J12" s="468" t="s">
        <v>156</v>
      </c>
      <c r="K12" s="8" t="s">
        <v>154</v>
      </c>
      <c r="L12" s="8" t="s">
        <v>154</v>
      </c>
      <c r="M12" s="1221"/>
      <c r="N12" s="35"/>
      <c r="O12" s="35"/>
    </row>
    <row r="13" spans="1:15" s="6" customFormat="1">
      <c r="A13" s="298"/>
      <c r="B13" s="299"/>
      <c r="C13" s="299">
        <v>1</v>
      </c>
      <c r="D13" s="299">
        <v>4</v>
      </c>
      <c r="E13" s="299">
        <v>5</v>
      </c>
      <c r="F13" s="299">
        <v>6</v>
      </c>
      <c r="G13" s="299">
        <v>8</v>
      </c>
      <c r="H13" s="299"/>
      <c r="I13" s="299"/>
      <c r="J13" s="299"/>
      <c r="K13" s="299">
        <v>9</v>
      </c>
      <c r="L13" s="299">
        <v>10</v>
      </c>
      <c r="M13" s="299">
        <v>11</v>
      </c>
      <c r="N13" s="300"/>
      <c r="O13" s="300"/>
    </row>
    <row r="14" spans="1:15">
      <c r="A14" s="301">
        <v>1</v>
      </c>
      <c r="B14" s="301">
        <v>1</v>
      </c>
      <c r="C14" s="302" t="s">
        <v>181</v>
      </c>
      <c r="D14" s="303"/>
      <c r="E14" s="303"/>
      <c r="F14" s="303"/>
      <c r="G14" s="303"/>
      <c r="H14" s="303"/>
      <c r="I14" s="303"/>
      <c r="J14" s="303"/>
      <c r="K14" s="303"/>
      <c r="L14" s="303"/>
      <c r="M14" s="304"/>
      <c r="N14" s="35"/>
      <c r="O14" s="35"/>
    </row>
    <row r="15" spans="1:15">
      <c r="A15" s="39">
        <f t="shared" ref="A15:A50" si="0">A14+1</f>
        <v>2</v>
      </c>
      <c r="B15" s="39">
        <v>1.1000000000000001</v>
      </c>
      <c r="C15" s="305" t="s">
        <v>157</v>
      </c>
      <c r="D15" s="306">
        <v>84</v>
      </c>
      <c r="E15" s="306">
        <v>84</v>
      </c>
      <c r="F15" s="306">
        <v>84</v>
      </c>
      <c r="G15" s="306">
        <v>84</v>
      </c>
      <c r="H15" s="306">
        <v>84</v>
      </c>
      <c r="I15" s="306"/>
      <c r="J15" s="306">
        <f>H15+I15</f>
        <v>84</v>
      </c>
      <c r="K15" s="306">
        <f>J15</f>
        <v>84</v>
      </c>
      <c r="L15" s="306">
        <f>K15</f>
        <v>84</v>
      </c>
      <c r="M15" s="308"/>
      <c r="N15" s="35"/>
      <c r="O15" s="35"/>
    </row>
    <row r="16" spans="1:15" ht="24">
      <c r="A16" s="39">
        <f t="shared" si="0"/>
        <v>3</v>
      </c>
      <c r="B16" s="39">
        <f>+B15+0.1</f>
        <v>1.2000000000000002</v>
      </c>
      <c r="C16" s="40" t="s">
        <v>7</v>
      </c>
      <c r="D16" s="306">
        <v>84</v>
      </c>
      <c r="E16" s="306">
        <v>84</v>
      </c>
      <c r="F16" s="306">
        <v>84</v>
      </c>
      <c r="G16" s="306">
        <v>84</v>
      </c>
      <c r="H16" s="306">
        <v>84</v>
      </c>
      <c r="I16" s="306"/>
      <c r="J16" s="306">
        <f t="shared" ref="J16:J22" si="1">H16+I16</f>
        <v>84</v>
      </c>
      <c r="K16" s="306">
        <f t="shared" ref="K16:L79" si="2">J16</f>
        <v>84</v>
      </c>
      <c r="L16" s="306">
        <f t="shared" si="2"/>
        <v>84</v>
      </c>
      <c r="M16" s="308"/>
      <c r="N16" s="35"/>
      <c r="O16" s="35"/>
    </row>
    <row r="17" spans="1:15">
      <c r="A17" s="39">
        <f t="shared" si="0"/>
        <v>4</v>
      </c>
      <c r="B17" s="39">
        <f t="shared" ref="B17:B21" si="3">+B16+0.1</f>
        <v>1.3000000000000003</v>
      </c>
      <c r="C17" s="40" t="s">
        <v>830</v>
      </c>
      <c r="D17" s="306">
        <v>653118.1</v>
      </c>
      <c r="E17" s="306">
        <v>653118.1</v>
      </c>
      <c r="F17" s="306">
        <v>715590.5</v>
      </c>
      <c r="G17" s="306">
        <v>715590.5</v>
      </c>
      <c r="H17" s="306">
        <v>715158.6</v>
      </c>
      <c r="I17" s="306"/>
      <c r="J17" s="306">
        <f t="shared" si="1"/>
        <v>715158.6</v>
      </c>
      <c r="K17" s="306">
        <f t="shared" si="2"/>
        <v>715158.6</v>
      </c>
      <c r="L17" s="306">
        <f t="shared" si="2"/>
        <v>715158.6</v>
      </c>
      <c r="M17" s="308"/>
      <c r="N17" s="35">
        <v>283601.935</v>
      </c>
      <c r="O17" s="35"/>
    </row>
    <row r="18" spans="1:15">
      <c r="A18" s="469">
        <v>5</v>
      </c>
      <c r="B18" s="469">
        <v>1.4</v>
      </c>
      <c r="C18" s="40" t="s">
        <v>942</v>
      </c>
      <c r="D18" s="306">
        <v>91469</v>
      </c>
      <c r="E18" s="306">
        <v>91469</v>
      </c>
      <c r="F18" s="306">
        <v>137929.4</v>
      </c>
      <c r="G18" s="306">
        <v>137929.4</v>
      </c>
      <c r="H18" s="306">
        <v>194876.4</v>
      </c>
      <c r="I18" s="306"/>
      <c r="J18" s="306">
        <f t="shared" si="1"/>
        <v>194876.4</v>
      </c>
      <c r="K18" s="306">
        <f t="shared" si="2"/>
        <v>194876.4</v>
      </c>
      <c r="L18" s="306">
        <f t="shared" si="2"/>
        <v>194876.4</v>
      </c>
      <c r="M18" s="308"/>
      <c r="N18" s="35"/>
      <c r="O18" s="35"/>
    </row>
    <row r="19" spans="1:15">
      <c r="A19" s="39">
        <v>6</v>
      </c>
      <c r="B19" s="469">
        <f t="shared" si="3"/>
        <v>1.5</v>
      </c>
      <c r="C19" s="40" t="s">
        <v>831</v>
      </c>
      <c r="D19" s="306">
        <v>0</v>
      </c>
      <c r="E19" s="306">
        <v>0</v>
      </c>
      <c r="F19" s="306">
        <v>0</v>
      </c>
      <c r="G19" s="306">
        <v>0</v>
      </c>
      <c r="H19" s="306">
        <v>0</v>
      </c>
      <c r="I19" s="306"/>
      <c r="J19" s="306">
        <f t="shared" si="1"/>
        <v>0</v>
      </c>
      <c r="K19" s="306">
        <f t="shared" si="2"/>
        <v>0</v>
      </c>
      <c r="L19" s="306">
        <f t="shared" si="2"/>
        <v>0</v>
      </c>
      <c r="M19" s="308"/>
      <c r="N19" s="35"/>
      <c r="O19" s="35"/>
    </row>
    <row r="20" spans="1:15">
      <c r="A20" s="39">
        <v>7</v>
      </c>
      <c r="B20" s="469">
        <v>1.6</v>
      </c>
      <c r="C20" s="40" t="s">
        <v>120</v>
      </c>
      <c r="D20" s="306">
        <v>100808.6</v>
      </c>
      <c r="E20" s="306">
        <v>100808.6</v>
      </c>
      <c r="F20" s="306">
        <v>129888</v>
      </c>
      <c r="G20" s="306">
        <v>129888</v>
      </c>
      <c r="H20" s="306">
        <v>159667.20000000001</v>
      </c>
      <c r="I20" s="306"/>
      <c r="J20" s="306">
        <f t="shared" si="1"/>
        <v>159667.20000000001</v>
      </c>
      <c r="K20" s="306">
        <f t="shared" si="2"/>
        <v>159667.20000000001</v>
      </c>
      <c r="L20" s="306">
        <f t="shared" si="2"/>
        <v>159667.20000000001</v>
      </c>
      <c r="M20" s="308"/>
      <c r="N20" s="35">
        <v>50913.599999999999</v>
      </c>
      <c r="O20" s="35"/>
    </row>
    <row r="21" spans="1:15" ht="24">
      <c r="A21" s="39">
        <v>8</v>
      </c>
      <c r="B21" s="469">
        <f t="shared" si="3"/>
        <v>1.7000000000000002</v>
      </c>
      <c r="C21" s="305" t="s">
        <v>144</v>
      </c>
      <c r="D21" s="306"/>
      <c r="E21" s="306"/>
      <c r="F21" s="306">
        <v>74569.2</v>
      </c>
      <c r="G21" s="306">
        <v>74569.2</v>
      </c>
      <c r="H21" s="306">
        <v>95354.5</v>
      </c>
      <c r="I21" s="306"/>
      <c r="J21" s="306">
        <f t="shared" si="1"/>
        <v>95354.5</v>
      </c>
      <c r="K21" s="306">
        <f t="shared" si="2"/>
        <v>95354.5</v>
      </c>
      <c r="L21" s="306">
        <f t="shared" si="2"/>
        <v>95354.5</v>
      </c>
      <c r="M21" s="308"/>
      <c r="N21" s="35"/>
      <c r="O21" s="35"/>
    </row>
    <row r="22" spans="1:15">
      <c r="A22" s="39">
        <f t="shared" si="0"/>
        <v>9</v>
      </c>
      <c r="B22" s="469">
        <v>1.8</v>
      </c>
      <c r="C22" s="40" t="s">
        <v>182</v>
      </c>
      <c r="D22" s="306">
        <v>101447.6</v>
      </c>
      <c r="E22" s="306">
        <v>101447.6</v>
      </c>
      <c r="F22" s="306">
        <v>132247.20000000001</v>
      </c>
      <c r="G22" s="306">
        <v>132247.20000000001</v>
      </c>
      <c r="H22" s="306">
        <v>145632.1</v>
      </c>
      <c r="I22" s="306"/>
      <c r="J22" s="306">
        <f t="shared" si="1"/>
        <v>145632.1</v>
      </c>
      <c r="K22" s="306">
        <f t="shared" si="2"/>
        <v>145632.1</v>
      </c>
      <c r="L22" s="306">
        <f t="shared" si="2"/>
        <v>145632.1</v>
      </c>
      <c r="M22" s="308"/>
      <c r="N22" s="35">
        <v>40115.5</v>
      </c>
      <c r="O22" s="309"/>
    </row>
    <row r="23" spans="1:15">
      <c r="A23" s="39">
        <f t="shared" si="0"/>
        <v>10</v>
      </c>
      <c r="B23" s="1216" t="s">
        <v>8</v>
      </c>
      <c r="C23" s="1217"/>
      <c r="D23" s="310">
        <f>D17+D18+D20+D22</f>
        <v>946843.29999999993</v>
      </c>
      <c r="E23" s="310">
        <f>E17+E18+E20+E22</f>
        <v>946843.29999999993</v>
      </c>
      <c r="F23" s="310">
        <f>F17+F18+F20+F22</f>
        <v>1115655.1000000001</v>
      </c>
      <c r="G23" s="310">
        <f>G17+G18+G20+G22</f>
        <v>1115655.1000000001</v>
      </c>
      <c r="H23" s="310">
        <f>H17+H18+H20+H21+H22</f>
        <v>1310688.8</v>
      </c>
      <c r="I23" s="310">
        <f t="shared" ref="I23:L23" si="4">I17+I18+I20+I21+I22</f>
        <v>0</v>
      </c>
      <c r="J23" s="310">
        <f t="shared" si="4"/>
        <v>1310688.8</v>
      </c>
      <c r="K23" s="310">
        <f t="shared" si="4"/>
        <v>1310688.8</v>
      </c>
      <c r="L23" s="310">
        <f t="shared" si="4"/>
        <v>1310688.8</v>
      </c>
      <c r="M23" s="308"/>
      <c r="N23" s="35"/>
      <c r="O23" s="35"/>
    </row>
    <row r="24" spans="1:15">
      <c r="A24" s="301">
        <f t="shared" si="0"/>
        <v>11</v>
      </c>
      <c r="B24" s="301">
        <v>2</v>
      </c>
      <c r="C24" s="302" t="s">
        <v>183</v>
      </c>
      <c r="D24" s="311"/>
      <c r="E24" s="311"/>
      <c r="F24" s="311"/>
      <c r="G24" s="311"/>
      <c r="H24" s="311"/>
      <c r="I24" s="311"/>
      <c r="J24" s="311"/>
      <c r="K24" s="311"/>
      <c r="L24" s="311"/>
      <c r="M24" s="312"/>
      <c r="N24" s="35"/>
      <c r="O24" s="35"/>
    </row>
    <row r="25" spans="1:15">
      <c r="A25" s="39">
        <f t="shared" si="0"/>
        <v>12</v>
      </c>
      <c r="B25" s="39">
        <f>+B24+0.1</f>
        <v>2.1</v>
      </c>
      <c r="C25" s="40" t="s">
        <v>9</v>
      </c>
      <c r="D25" s="306">
        <v>8</v>
      </c>
      <c r="E25" s="306">
        <v>8</v>
      </c>
      <c r="F25" s="306">
        <v>8</v>
      </c>
      <c r="G25" s="306">
        <v>8</v>
      </c>
      <c r="H25" s="306">
        <v>8</v>
      </c>
      <c r="I25" s="306"/>
      <c r="J25" s="306">
        <f>H25+I25</f>
        <v>8</v>
      </c>
      <c r="K25" s="306">
        <f t="shared" si="2"/>
        <v>8</v>
      </c>
      <c r="L25" s="306">
        <f t="shared" si="2"/>
        <v>8</v>
      </c>
      <c r="M25" s="308"/>
      <c r="N25" s="35"/>
      <c r="O25" s="35"/>
    </row>
    <row r="26" spans="1:15">
      <c r="A26" s="39">
        <f t="shared" si="0"/>
        <v>13</v>
      </c>
      <c r="B26" s="39">
        <f t="shared" ref="B26:B31" si="5">+B25+0.1</f>
        <v>2.2000000000000002</v>
      </c>
      <c r="C26" s="40" t="s">
        <v>10</v>
      </c>
      <c r="D26" s="306">
        <v>202</v>
      </c>
      <c r="E26" s="306">
        <v>202</v>
      </c>
      <c r="F26" s="306">
        <v>202</v>
      </c>
      <c r="G26" s="306">
        <v>202</v>
      </c>
      <c r="H26" s="306">
        <v>202</v>
      </c>
      <c r="I26" s="306"/>
      <c r="J26" s="306">
        <f t="shared" ref="J26:J31" si="6">H26+I26</f>
        <v>202</v>
      </c>
      <c r="K26" s="306">
        <f t="shared" si="2"/>
        <v>202</v>
      </c>
      <c r="L26" s="306">
        <f t="shared" si="2"/>
        <v>202</v>
      </c>
      <c r="M26" s="308"/>
      <c r="N26" s="35"/>
      <c r="O26" s="35"/>
    </row>
    <row r="27" spans="1:15">
      <c r="A27" s="39">
        <f t="shared" si="0"/>
        <v>14</v>
      </c>
      <c r="B27" s="39">
        <f t="shared" si="5"/>
        <v>2.3000000000000003</v>
      </c>
      <c r="C27" s="315" t="s">
        <v>184</v>
      </c>
      <c r="D27" s="306">
        <v>32670</v>
      </c>
      <c r="E27" s="306">
        <v>30829</v>
      </c>
      <c r="F27" s="306">
        <v>54175</v>
      </c>
      <c r="G27" s="306">
        <f>F27</f>
        <v>54175</v>
      </c>
      <c r="H27" s="306">
        <f>32670+30000+17677.5</f>
        <v>80347.5</v>
      </c>
      <c r="I27" s="306">
        <v>25000.5</v>
      </c>
      <c r="J27" s="306">
        <f t="shared" si="6"/>
        <v>105348</v>
      </c>
      <c r="K27" s="306">
        <f t="shared" si="2"/>
        <v>105348</v>
      </c>
      <c r="L27" s="306">
        <f t="shared" si="2"/>
        <v>105348</v>
      </c>
      <c r="M27" s="308"/>
      <c r="N27" s="35"/>
      <c r="O27" s="35"/>
    </row>
    <row r="28" spans="1:15">
      <c r="A28" s="39">
        <f t="shared" si="0"/>
        <v>15</v>
      </c>
      <c r="B28" s="39">
        <f t="shared" si="5"/>
        <v>2.4000000000000004</v>
      </c>
      <c r="C28" s="40" t="s">
        <v>11</v>
      </c>
      <c r="D28" s="306">
        <v>78</v>
      </c>
      <c r="E28" s="306">
        <v>78</v>
      </c>
      <c r="F28" s="306">
        <v>78</v>
      </c>
      <c r="G28" s="306">
        <v>78</v>
      </c>
      <c r="H28" s="306">
        <v>78</v>
      </c>
      <c r="I28" s="306"/>
      <c r="J28" s="306">
        <f t="shared" si="6"/>
        <v>78</v>
      </c>
      <c r="K28" s="306">
        <f t="shared" si="2"/>
        <v>78</v>
      </c>
      <c r="L28" s="306">
        <f t="shared" si="2"/>
        <v>78</v>
      </c>
      <c r="M28" s="308"/>
      <c r="N28" s="35"/>
      <c r="O28" s="35"/>
    </row>
    <row r="29" spans="1:15">
      <c r="A29" s="39">
        <f t="shared" si="0"/>
        <v>16</v>
      </c>
      <c r="B29" s="39">
        <f t="shared" si="5"/>
        <v>2.5000000000000004</v>
      </c>
      <c r="C29" s="40" t="s">
        <v>943</v>
      </c>
      <c r="D29" s="306">
        <v>294</v>
      </c>
      <c r="E29" s="306">
        <v>294</v>
      </c>
      <c r="F29" s="306">
        <v>294</v>
      </c>
      <c r="G29" s="306">
        <v>294</v>
      </c>
      <c r="H29" s="306">
        <v>196.2</v>
      </c>
      <c r="I29" s="306"/>
      <c r="J29" s="306">
        <f t="shared" si="6"/>
        <v>196.2</v>
      </c>
      <c r="K29" s="306">
        <f t="shared" si="2"/>
        <v>196.2</v>
      </c>
      <c r="L29" s="306">
        <f t="shared" si="2"/>
        <v>196.2</v>
      </c>
      <c r="M29" s="308"/>
      <c r="N29" s="35"/>
      <c r="O29" s="35"/>
    </row>
    <row r="30" spans="1:15">
      <c r="A30" s="39">
        <f t="shared" si="0"/>
        <v>17</v>
      </c>
      <c r="B30" s="39">
        <f t="shared" si="5"/>
        <v>2.6000000000000005</v>
      </c>
      <c r="C30" s="315" t="s">
        <v>12</v>
      </c>
      <c r="D30" s="316">
        <v>10804.9</v>
      </c>
      <c r="E30" s="316">
        <f>D30</f>
        <v>10804.9</v>
      </c>
      <c r="F30" s="316">
        <v>6804.9</v>
      </c>
      <c r="G30" s="316">
        <f>F30</f>
        <v>6804.9</v>
      </c>
      <c r="H30" s="316">
        <v>10804.9</v>
      </c>
      <c r="I30" s="306"/>
      <c r="J30" s="306">
        <f t="shared" si="6"/>
        <v>10804.9</v>
      </c>
      <c r="K30" s="306">
        <f t="shared" si="2"/>
        <v>10804.9</v>
      </c>
      <c r="L30" s="306">
        <f t="shared" si="2"/>
        <v>10804.9</v>
      </c>
      <c r="M30" s="308"/>
      <c r="N30" s="35"/>
      <c r="O30" s="35"/>
    </row>
    <row r="31" spans="1:15">
      <c r="A31" s="39">
        <f t="shared" si="0"/>
        <v>18</v>
      </c>
      <c r="B31" s="39">
        <f t="shared" si="5"/>
        <v>2.7000000000000006</v>
      </c>
      <c r="C31" s="315" t="s">
        <v>13</v>
      </c>
      <c r="D31" s="306">
        <v>8500</v>
      </c>
      <c r="E31" s="306">
        <v>7922.9</v>
      </c>
      <c r="F31" s="306">
        <v>8500</v>
      </c>
      <c r="G31" s="306">
        <f>F31</f>
        <v>8500</v>
      </c>
      <c r="H31" s="306">
        <v>4500</v>
      </c>
      <c r="I31" s="306"/>
      <c r="J31" s="306">
        <f t="shared" si="6"/>
        <v>4500</v>
      </c>
      <c r="K31" s="306">
        <f t="shared" si="2"/>
        <v>4500</v>
      </c>
      <c r="L31" s="306">
        <f t="shared" si="2"/>
        <v>4500</v>
      </c>
      <c r="M31" s="308"/>
      <c r="N31" s="35"/>
      <c r="O31" s="35"/>
    </row>
    <row r="32" spans="1:15">
      <c r="A32" s="39">
        <f t="shared" si="0"/>
        <v>19</v>
      </c>
      <c r="B32" s="1216" t="s">
        <v>14</v>
      </c>
      <c r="C32" s="1217"/>
      <c r="D32" s="310">
        <f>D27+D30+D31</f>
        <v>51974.9</v>
      </c>
      <c r="E32" s="310">
        <f>E27+E30+E31</f>
        <v>49556.800000000003</v>
      </c>
      <c r="F32" s="310">
        <f>F27+F30+F31</f>
        <v>69479.899999999994</v>
      </c>
      <c r="G32" s="310">
        <f>F32</f>
        <v>69479.899999999994</v>
      </c>
      <c r="H32" s="310">
        <f>H27+H30+H31</f>
        <v>95652.4</v>
      </c>
      <c r="I32" s="310">
        <f t="shared" ref="I32" si="7">I27+I30+I31</f>
        <v>25000.5</v>
      </c>
      <c r="J32" s="310">
        <f>J27+J30+J31</f>
        <v>120652.9</v>
      </c>
      <c r="K32" s="310">
        <f t="shared" ref="K32:L32" si="8">K27+K30+K31</f>
        <v>120652.9</v>
      </c>
      <c r="L32" s="310">
        <f t="shared" si="8"/>
        <v>120652.9</v>
      </c>
      <c r="M32" s="308"/>
      <c r="N32" s="35">
        <v>7238.1</v>
      </c>
      <c r="O32" s="35"/>
    </row>
    <row r="33" spans="1:15">
      <c r="A33" s="301">
        <f t="shared" si="0"/>
        <v>20</v>
      </c>
      <c r="B33" s="301">
        <v>3</v>
      </c>
      <c r="C33" s="302" t="s">
        <v>185</v>
      </c>
      <c r="D33" s="311"/>
      <c r="E33" s="311"/>
      <c r="F33" s="311"/>
      <c r="G33" s="311"/>
      <c r="H33" s="311"/>
      <c r="I33" s="311"/>
      <c r="J33" s="311"/>
      <c r="K33" s="311"/>
      <c r="L33" s="311"/>
      <c r="M33" s="312"/>
      <c r="N33" s="35"/>
      <c r="O33" s="35"/>
    </row>
    <row r="34" spans="1:15" ht="24">
      <c r="A34" s="39">
        <f t="shared" si="0"/>
        <v>21</v>
      </c>
      <c r="B34" s="39">
        <f>+B33+0.1</f>
        <v>3.1</v>
      </c>
      <c r="C34" s="40" t="s">
        <v>15</v>
      </c>
      <c r="D34" s="317">
        <v>192.4</v>
      </c>
      <c r="E34" s="317">
        <v>192.4</v>
      </c>
      <c r="F34" s="317">
        <v>192.4</v>
      </c>
      <c r="G34" s="317">
        <v>192.4</v>
      </c>
      <c r="H34" s="317">
        <v>192.4</v>
      </c>
      <c r="I34" s="318"/>
      <c r="J34" s="317">
        <f>H34+I34</f>
        <v>192.4</v>
      </c>
      <c r="K34" s="306">
        <f t="shared" si="2"/>
        <v>192.4</v>
      </c>
      <c r="L34" s="306">
        <f t="shared" si="2"/>
        <v>192.4</v>
      </c>
      <c r="M34" s="319"/>
      <c r="N34" s="35"/>
      <c r="O34" s="35"/>
    </row>
    <row r="35" spans="1:15" ht="24">
      <c r="A35" s="39">
        <f t="shared" si="0"/>
        <v>22</v>
      </c>
      <c r="B35" s="39">
        <f t="shared" ref="B35:B36" si="9">+B34+0.1</f>
        <v>3.2</v>
      </c>
      <c r="C35" s="40" t="s">
        <v>186</v>
      </c>
      <c r="D35" s="316">
        <v>60.1</v>
      </c>
      <c r="E35" s="316">
        <v>60.1</v>
      </c>
      <c r="F35" s="316">
        <v>60.1</v>
      </c>
      <c r="G35" s="316">
        <v>60.1</v>
      </c>
      <c r="H35" s="316">
        <v>60.1</v>
      </c>
      <c r="I35" s="316"/>
      <c r="J35" s="317">
        <f t="shared" ref="J35:J37" si="10">H35+I35</f>
        <v>60.1</v>
      </c>
      <c r="K35" s="306">
        <f t="shared" si="2"/>
        <v>60.1</v>
      </c>
      <c r="L35" s="306">
        <f t="shared" si="2"/>
        <v>60.1</v>
      </c>
      <c r="M35" s="308"/>
      <c r="N35" s="35"/>
      <c r="O35" s="35"/>
    </row>
    <row r="36" spans="1:15">
      <c r="A36" s="39">
        <f t="shared" si="0"/>
        <v>23</v>
      </c>
      <c r="B36" s="39">
        <f t="shared" si="9"/>
        <v>3.3000000000000003</v>
      </c>
      <c r="C36" s="40" t="s">
        <v>16</v>
      </c>
      <c r="D36" s="316">
        <v>128.5</v>
      </c>
      <c r="E36" s="316">
        <v>128.5</v>
      </c>
      <c r="F36" s="316">
        <v>128.5</v>
      </c>
      <c r="G36" s="316">
        <v>128.5</v>
      </c>
      <c r="H36" s="316">
        <v>128.5</v>
      </c>
      <c r="I36" s="306"/>
      <c r="J36" s="317">
        <f t="shared" si="10"/>
        <v>128.5</v>
      </c>
      <c r="K36" s="306">
        <f t="shared" si="2"/>
        <v>128.5</v>
      </c>
      <c r="L36" s="306">
        <f t="shared" si="2"/>
        <v>128.5</v>
      </c>
      <c r="M36" s="308"/>
      <c r="N36" s="35"/>
      <c r="O36" s="35"/>
    </row>
    <row r="37" spans="1:15" ht="24">
      <c r="A37" s="39">
        <f t="shared" si="0"/>
        <v>24</v>
      </c>
      <c r="B37" s="39">
        <f>+B36+0.1</f>
        <v>3.4000000000000004</v>
      </c>
      <c r="C37" s="40" t="s">
        <v>187</v>
      </c>
      <c r="D37" s="316">
        <v>0</v>
      </c>
      <c r="E37" s="316">
        <v>0</v>
      </c>
      <c r="F37" s="316">
        <v>0</v>
      </c>
      <c r="G37" s="316">
        <v>0</v>
      </c>
      <c r="H37" s="316">
        <v>0</v>
      </c>
      <c r="I37" s="306"/>
      <c r="J37" s="317">
        <f t="shared" si="10"/>
        <v>0</v>
      </c>
      <c r="K37" s="306">
        <f t="shared" si="2"/>
        <v>0</v>
      </c>
      <c r="L37" s="306">
        <f t="shared" si="2"/>
        <v>0</v>
      </c>
      <c r="M37" s="308"/>
      <c r="N37" s="35"/>
      <c r="O37" s="35"/>
    </row>
    <row r="38" spans="1:15">
      <c r="A38" s="39">
        <f t="shared" si="0"/>
        <v>25</v>
      </c>
      <c r="B38" s="1216" t="s">
        <v>17</v>
      </c>
      <c r="C38" s="1217"/>
      <c r="D38" s="320">
        <v>37991.5</v>
      </c>
      <c r="E38" s="320">
        <v>37071.4</v>
      </c>
      <c r="F38" s="320">
        <v>33591.5</v>
      </c>
      <c r="G38" s="320">
        <v>33591.5</v>
      </c>
      <c r="H38" s="320">
        <v>33591.5</v>
      </c>
      <c r="I38" s="322"/>
      <c r="J38" s="474">
        <f>H38+I38</f>
        <v>33591.5</v>
      </c>
      <c r="K38" s="474">
        <f t="shared" ref="K38:L38" si="11">I38+J38</f>
        <v>33591.5</v>
      </c>
      <c r="L38" s="474">
        <f t="shared" si="11"/>
        <v>67183</v>
      </c>
      <c r="M38" s="308"/>
      <c r="N38" s="35">
        <v>15156.685520000001</v>
      </c>
      <c r="O38" s="35"/>
    </row>
    <row r="39" spans="1:15">
      <c r="A39" s="301">
        <f t="shared" si="0"/>
        <v>26</v>
      </c>
      <c r="B39" s="301">
        <v>4</v>
      </c>
      <c r="C39" s="302" t="s">
        <v>188</v>
      </c>
      <c r="D39" s="311"/>
      <c r="E39" s="311"/>
      <c r="F39" s="311"/>
      <c r="G39" s="311"/>
      <c r="H39" s="311"/>
      <c r="I39" s="311"/>
      <c r="J39" s="311"/>
      <c r="K39" s="311"/>
      <c r="L39" s="311"/>
      <c r="M39" s="312"/>
      <c r="N39" s="35"/>
      <c r="O39" s="35"/>
    </row>
    <row r="40" spans="1:15">
      <c r="A40" s="39">
        <f t="shared" si="0"/>
        <v>27</v>
      </c>
      <c r="B40" s="39">
        <v>4.0999999999999996</v>
      </c>
      <c r="C40" s="40" t="s">
        <v>189</v>
      </c>
      <c r="D40" s="316">
        <v>0</v>
      </c>
      <c r="E40" s="324">
        <v>0</v>
      </c>
      <c r="F40" s="316">
        <v>0</v>
      </c>
      <c r="G40" s="324">
        <v>0</v>
      </c>
      <c r="H40" s="316">
        <v>0</v>
      </c>
      <c r="I40" s="323"/>
      <c r="J40" s="324">
        <v>0</v>
      </c>
      <c r="K40" s="306">
        <f t="shared" si="2"/>
        <v>0</v>
      </c>
      <c r="L40" s="306">
        <f t="shared" si="2"/>
        <v>0</v>
      </c>
      <c r="M40" s="308"/>
      <c r="N40" s="35"/>
      <c r="O40" s="35"/>
    </row>
    <row r="41" spans="1:15" ht="24">
      <c r="A41" s="39">
        <f t="shared" si="0"/>
        <v>28</v>
      </c>
      <c r="B41" s="39">
        <v>4.2</v>
      </c>
      <c r="C41" s="40" t="s">
        <v>186</v>
      </c>
      <c r="D41" s="316">
        <v>0</v>
      </c>
      <c r="E41" s="324">
        <v>0</v>
      </c>
      <c r="F41" s="316">
        <v>0</v>
      </c>
      <c r="G41" s="324">
        <v>0</v>
      </c>
      <c r="H41" s="316">
        <v>0</v>
      </c>
      <c r="I41" s="323"/>
      <c r="J41" s="324">
        <v>0</v>
      </c>
      <c r="K41" s="306">
        <f t="shared" si="2"/>
        <v>0</v>
      </c>
      <c r="L41" s="306">
        <f t="shared" si="2"/>
        <v>0</v>
      </c>
      <c r="M41" s="308"/>
      <c r="N41" s="35"/>
      <c r="O41" s="35"/>
    </row>
    <row r="42" spans="1:15">
      <c r="A42" s="39">
        <f t="shared" si="0"/>
        <v>29</v>
      </c>
      <c r="B42" s="39">
        <v>4.3</v>
      </c>
      <c r="C42" s="40" t="s">
        <v>190</v>
      </c>
      <c r="D42" s="316"/>
      <c r="E42" s="324"/>
      <c r="F42" s="316"/>
      <c r="G42" s="324"/>
      <c r="H42" s="316"/>
      <c r="I42" s="323"/>
      <c r="J42" s="324"/>
      <c r="K42" s="306">
        <f t="shared" si="2"/>
        <v>0</v>
      </c>
      <c r="L42" s="306">
        <f t="shared" si="2"/>
        <v>0</v>
      </c>
      <c r="M42" s="308"/>
      <c r="N42" s="35"/>
      <c r="O42" s="35"/>
    </row>
    <row r="43" spans="1:15">
      <c r="A43" s="39">
        <f t="shared" si="0"/>
        <v>30</v>
      </c>
      <c r="B43" s="39">
        <v>4.4000000000000004</v>
      </c>
      <c r="C43" s="40" t="s">
        <v>18</v>
      </c>
      <c r="D43" s="316">
        <v>8</v>
      </c>
      <c r="E43" s="324">
        <v>8</v>
      </c>
      <c r="F43" s="316">
        <v>8</v>
      </c>
      <c r="G43" s="324">
        <v>8</v>
      </c>
      <c r="H43" s="316">
        <v>8</v>
      </c>
      <c r="I43" s="323"/>
      <c r="J43" s="324">
        <v>8</v>
      </c>
      <c r="K43" s="306">
        <f t="shared" si="2"/>
        <v>8</v>
      </c>
      <c r="L43" s="306">
        <f t="shared" si="2"/>
        <v>8</v>
      </c>
      <c r="M43" s="308"/>
      <c r="N43" s="35"/>
      <c r="O43" s="35"/>
    </row>
    <row r="44" spans="1:15">
      <c r="A44" s="39">
        <f t="shared" si="0"/>
        <v>31</v>
      </c>
      <c r="B44" s="39">
        <v>4.5</v>
      </c>
      <c r="C44" s="315" t="s">
        <v>191</v>
      </c>
      <c r="D44" s="316">
        <v>19100</v>
      </c>
      <c r="E44" s="324">
        <v>19100</v>
      </c>
      <c r="F44" s="316">
        <v>19100</v>
      </c>
      <c r="G44" s="324">
        <v>19100</v>
      </c>
      <c r="H44" s="316">
        <v>19100</v>
      </c>
      <c r="I44" s="323"/>
      <c r="J44" s="324">
        <v>19100</v>
      </c>
      <c r="K44" s="306">
        <f t="shared" si="2"/>
        <v>19100</v>
      </c>
      <c r="L44" s="306">
        <f t="shared" si="2"/>
        <v>19100</v>
      </c>
      <c r="M44" s="308"/>
      <c r="N44" s="35"/>
      <c r="O44" s="35"/>
    </row>
    <row r="45" spans="1:15" ht="24">
      <c r="A45" s="39">
        <f t="shared" si="0"/>
        <v>32</v>
      </c>
      <c r="B45" s="39">
        <v>4.5999999999999996</v>
      </c>
      <c r="C45" s="40" t="s">
        <v>192</v>
      </c>
      <c r="D45" s="316">
        <v>5392</v>
      </c>
      <c r="E45" s="324">
        <v>5392</v>
      </c>
      <c r="F45" s="316">
        <v>5392</v>
      </c>
      <c r="G45" s="324">
        <v>5392</v>
      </c>
      <c r="H45" s="316">
        <v>5392</v>
      </c>
      <c r="I45" s="323"/>
      <c r="J45" s="324">
        <v>5392</v>
      </c>
      <c r="K45" s="306">
        <f t="shared" si="2"/>
        <v>5392</v>
      </c>
      <c r="L45" s="306">
        <f t="shared" si="2"/>
        <v>5392</v>
      </c>
      <c r="M45" s="308"/>
      <c r="N45" s="35"/>
      <c r="O45" s="35"/>
    </row>
    <row r="46" spans="1:15" ht="24">
      <c r="A46" s="39">
        <f t="shared" si="0"/>
        <v>33</v>
      </c>
      <c r="B46" s="39">
        <v>4.7</v>
      </c>
      <c r="C46" s="40" t="s">
        <v>186</v>
      </c>
      <c r="D46" s="316">
        <v>0</v>
      </c>
      <c r="E46" s="324">
        <v>0</v>
      </c>
      <c r="F46" s="316">
        <v>0</v>
      </c>
      <c r="G46" s="324">
        <v>0</v>
      </c>
      <c r="H46" s="316">
        <v>0</v>
      </c>
      <c r="I46" s="323"/>
      <c r="J46" s="324">
        <v>0</v>
      </c>
      <c r="K46" s="306">
        <f t="shared" si="2"/>
        <v>0</v>
      </c>
      <c r="L46" s="306">
        <f t="shared" si="2"/>
        <v>0</v>
      </c>
      <c r="M46" s="308"/>
      <c r="N46" s="35"/>
      <c r="O46" s="35"/>
    </row>
    <row r="47" spans="1:15">
      <c r="A47" s="39">
        <f t="shared" si="0"/>
        <v>34</v>
      </c>
      <c r="B47" s="39">
        <v>4.8</v>
      </c>
      <c r="C47" s="40" t="s">
        <v>19</v>
      </c>
      <c r="D47" s="316">
        <v>27692</v>
      </c>
      <c r="E47" s="324">
        <v>27692</v>
      </c>
      <c r="F47" s="316">
        <v>27692</v>
      </c>
      <c r="G47" s="324">
        <v>27692</v>
      </c>
      <c r="H47" s="316">
        <v>27692</v>
      </c>
      <c r="I47" s="323"/>
      <c r="J47" s="324">
        <v>27692</v>
      </c>
      <c r="K47" s="306">
        <f t="shared" si="2"/>
        <v>27692</v>
      </c>
      <c r="L47" s="306">
        <f t="shared" si="2"/>
        <v>27692</v>
      </c>
      <c r="M47" s="308"/>
      <c r="N47" s="35"/>
      <c r="O47" s="35"/>
    </row>
    <row r="48" spans="1:15">
      <c r="A48" s="39">
        <f t="shared" si="0"/>
        <v>35</v>
      </c>
      <c r="B48" s="39">
        <v>4.9000000000000004</v>
      </c>
      <c r="C48" s="40" t="s">
        <v>18</v>
      </c>
      <c r="D48" s="316">
        <v>8</v>
      </c>
      <c r="E48" s="324">
        <v>8</v>
      </c>
      <c r="F48" s="316">
        <v>8</v>
      </c>
      <c r="G48" s="324">
        <v>8</v>
      </c>
      <c r="H48" s="316">
        <v>8</v>
      </c>
      <c r="I48" s="323"/>
      <c r="J48" s="324">
        <v>8</v>
      </c>
      <c r="K48" s="306">
        <f t="shared" si="2"/>
        <v>8</v>
      </c>
      <c r="L48" s="306">
        <f t="shared" si="2"/>
        <v>8</v>
      </c>
      <c r="M48" s="308"/>
      <c r="N48" s="35"/>
      <c r="O48" s="35"/>
    </row>
    <row r="49" spans="1:15">
      <c r="A49" s="39">
        <f t="shared" si="0"/>
        <v>36</v>
      </c>
      <c r="B49" s="325">
        <v>4.0999999999999996</v>
      </c>
      <c r="C49" s="315" t="s">
        <v>193</v>
      </c>
      <c r="D49" s="316">
        <v>31776.6</v>
      </c>
      <c r="E49" s="324">
        <v>31776.6</v>
      </c>
      <c r="F49" s="316">
        <v>31776.6</v>
      </c>
      <c r="G49" s="324">
        <v>31776.6</v>
      </c>
      <c r="H49" s="316">
        <v>31776.6</v>
      </c>
      <c r="I49" s="323"/>
      <c r="J49" s="324">
        <v>31776.6</v>
      </c>
      <c r="K49" s="306">
        <f t="shared" si="2"/>
        <v>31776.6</v>
      </c>
      <c r="L49" s="306">
        <f t="shared" si="2"/>
        <v>31776.6</v>
      </c>
      <c r="M49" s="308"/>
      <c r="N49" s="35"/>
      <c r="O49" s="35"/>
    </row>
    <row r="50" spans="1:15" s="7" customFormat="1" ht="24">
      <c r="A50" s="326">
        <f t="shared" si="0"/>
        <v>37</v>
      </c>
      <c r="B50" s="325">
        <v>4.1100000000000003</v>
      </c>
      <c r="C50" s="327" t="s">
        <v>194</v>
      </c>
      <c r="D50" s="316">
        <v>0</v>
      </c>
      <c r="E50" s="324">
        <v>0</v>
      </c>
      <c r="F50" s="316">
        <v>0</v>
      </c>
      <c r="G50" s="324">
        <v>0</v>
      </c>
      <c r="H50" s="316">
        <v>0</v>
      </c>
      <c r="I50" s="328"/>
      <c r="J50" s="324">
        <v>0</v>
      </c>
      <c r="K50" s="306">
        <f t="shared" si="2"/>
        <v>0</v>
      </c>
      <c r="L50" s="306">
        <f t="shared" si="2"/>
        <v>0</v>
      </c>
      <c r="M50" s="329"/>
      <c r="N50" s="330"/>
      <c r="O50" s="330"/>
    </row>
    <row r="51" spans="1:15" s="7" customFormat="1" ht="24">
      <c r="A51" s="326"/>
      <c r="B51" s="325">
        <v>4.12</v>
      </c>
      <c r="C51" s="327" t="s">
        <v>186</v>
      </c>
      <c r="D51" s="316">
        <v>0</v>
      </c>
      <c r="E51" s="324">
        <v>0</v>
      </c>
      <c r="F51" s="316">
        <v>0</v>
      </c>
      <c r="G51" s="324">
        <v>0</v>
      </c>
      <c r="H51" s="316">
        <v>0</v>
      </c>
      <c r="I51" s="328"/>
      <c r="J51" s="324">
        <v>0</v>
      </c>
      <c r="K51" s="306">
        <f t="shared" si="2"/>
        <v>0</v>
      </c>
      <c r="L51" s="306">
        <f t="shared" si="2"/>
        <v>0</v>
      </c>
      <c r="M51" s="329"/>
      <c r="N51" s="330"/>
      <c r="O51" s="330"/>
    </row>
    <row r="52" spans="1:15" s="7" customFormat="1">
      <c r="A52" s="326">
        <f>A50+1</f>
        <v>38</v>
      </c>
      <c r="B52" s="325">
        <v>4.13</v>
      </c>
      <c r="C52" s="327" t="s">
        <v>20</v>
      </c>
      <c r="D52" s="316">
        <v>0</v>
      </c>
      <c r="E52" s="324">
        <v>0</v>
      </c>
      <c r="F52" s="316">
        <v>0</v>
      </c>
      <c r="G52" s="324">
        <v>0</v>
      </c>
      <c r="H52" s="316">
        <v>0</v>
      </c>
      <c r="I52" s="328"/>
      <c r="J52" s="324">
        <v>0</v>
      </c>
      <c r="K52" s="306">
        <f t="shared" si="2"/>
        <v>0</v>
      </c>
      <c r="L52" s="306">
        <f t="shared" si="2"/>
        <v>0</v>
      </c>
      <c r="M52" s="329"/>
      <c r="N52" s="330"/>
      <c r="O52" s="330"/>
    </row>
    <row r="53" spans="1:15" s="7" customFormat="1">
      <c r="A53" s="326">
        <f t="shared" ref="A53:A84" si="12">A52+1</f>
        <v>39</v>
      </c>
      <c r="B53" s="325">
        <v>4.1399999999999997</v>
      </c>
      <c r="C53" s="327" t="s">
        <v>21</v>
      </c>
      <c r="D53" s="316">
        <v>0</v>
      </c>
      <c r="E53" s="324">
        <v>0</v>
      </c>
      <c r="F53" s="316">
        <v>0</v>
      </c>
      <c r="G53" s="324">
        <v>0</v>
      </c>
      <c r="H53" s="316">
        <v>0</v>
      </c>
      <c r="I53" s="328"/>
      <c r="J53" s="324">
        <v>0</v>
      </c>
      <c r="K53" s="306">
        <f t="shared" si="2"/>
        <v>0</v>
      </c>
      <c r="L53" s="306">
        <f t="shared" si="2"/>
        <v>0</v>
      </c>
      <c r="M53" s="329"/>
      <c r="N53" s="330"/>
      <c r="O53" s="330"/>
    </row>
    <row r="54" spans="1:15" s="7" customFormat="1">
      <c r="A54" s="326">
        <f t="shared" si="12"/>
        <v>40</v>
      </c>
      <c r="B54" s="325">
        <v>4.1500000000000004</v>
      </c>
      <c r="C54" s="331" t="s">
        <v>22</v>
      </c>
      <c r="D54" s="316">
        <v>0</v>
      </c>
      <c r="E54" s="324">
        <v>0</v>
      </c>
      <c r="F54" s="316">
        <v>0</v>
      </c>
      <c r="G54" s="324">
        <v>0</v>
      </c>
      <c r="H54" s="316">
        <v>0</v>
      </c>
      <c r="I54" s="328"/>
      <c r="J54" s="324">
        <v>0</v>
      </c>
      <c r="K54" s="306">
        <f t="shared" si="2"/>
        <v>0</v>
      </c>
      <c r="L54" s="306">
        <f t="shared" si="2"/>
        <v>0</v>
      </c>
      <c r="M54" s="329"/>
      <c r="N54" s="330"/>
      <c r="O54" s="330"/>
    </row>
    <row r="55" spans="1:15" s="7" customFormat="1" ht="24">
      <c r="A55" s="326">
        <f t="shared" si="12"/>
        <v>41</v>
      </c>
      <c r="B55" s="325">
        <v>4.16</v>
      </c>
      <c r="C55" s="327" t="s">
        <v>195</v>
      </c>
      <c r="D55" s="316">
        <v>0</v>
      </c>
      <c r="E55" s="324">
        <v>0</v>
      </c>
      <c r="F55" s="316">
        <v>0</v>
      </c>
      <c r="G55" s="324">
        <v>0</v>
      </c>
      <c r="H55" s="316">
        <v>0</v>
      </c>
      <c r="I55" s="328"/>
      <c r="J55" s="324">
        <v>0</v>
      </c>
      <c r="K55" s="306">
        <f t="shared" si="2"/>
        <v>0</v>
      </c>
      <c r="L55" s="306">
        <f t="shared" si="2"/>
        <v>0</v>
      </c>
      <c r="M55" s="329"/>
      <c r="N55" s="330"/>
      <c r="O55" s="330"/>
    </row>
    <row r="56" spans="1:15" s="7" customFormat="1" ht="24">
      <c r="A56" s="326">
        <f t="shared" si="12"/>
        <v>42</v>
      </c>
      <c r="B56" s="325">
        <v>4.17</v>
      </c>
      <c r="C56" s="327" t="s">
        <v>186</v>
      </c>
      <c r="D56" s="316">
        <v>0</v>
      </c>
      <c r="E56" s="324">
        <v>0</v>
      </c>
      <c r="F56" s="316">
        <v>0</v>
      </c>
      <c r="G56" s="324">
        <v>0</v>
      </c>
      <c r="H56" s="316">
        <v>0</v>
      </c>
      <c r="I56" s="328"/>
      <c r="J56" s="324">
        <v>0</v>
      </c>
      <c r="K56" s="306">
        <f t="shared" si="2"/>
        <v>0</v>
      </c>
      <c r="L56" s="306">
        <f t="shared" si="2"/>
        <v>0</v>
      </c>
      <c r="M56" s="329"/>
      <c r="N56" s="330"/>
      <c r="O56" s="330"/>
    </row>
    <row r="57" spans="1:15" s="7" customFormat="1">
      <c r="A57" s="326">
        <f t="shared" si="12"/>
        <v>43</v>
      </c>
      <c r="B57" s="325">
        <v>4.18</v>
      </c>
      <c r="C57" s="327" t="s">
        <v>23</v>
      </c>
      <c r="D57" s="316">
        <v>0</v>
      </c>
      <c r="E57" s="324">
        <v>0</v>
      </c>
      <c r="F57" s="316">
        <v>0</v>
      </c>
      <c r="G57" s="324">
        <v>0</v>
      </c>
      <c r="H57" s="316">
        <v>0</v>
      </c>
      <c r="I57" s="328"/>
      <c r="J57" s="324">
        <v>0</v>
      </c>
      <c r="K57" s="306">
        <f t="shared" si="2"/>
        <v>0</v>
      </c>
      <c r="L57" s="306">
        <f t="shared" si="2"/>
        <v>0</v>
      </c>
      <c r="M57" s="329"/>
      <c r="N57" s="330"/>
      <c r="O57" s="330"/>
    </row>
    <row r="58" spans="1:15" s="7" customFormat="1">
      <c r="A58" s="326">
        <f t="shared" si="12"/>
        <v>44</v>
      </c>
      <c r="B58" s="325">
        <v>4.1900000000000004</v>
      </c>
      <c r="C58" s="327" t="s">
        <v>21</v>
      </c>
      <c r="D58" s="316">
        <v>0</v>
      </c>
      <c r="E58" s="324">
        <v>0</v>
      </c>
      <c r="F58" s="316">
        <v>0</v>
      </c>
      <c r="G58" s="324">
        <v>0</v>
      </c>
      <c r="H58" s="316">
        <v>0</v>
      </c>
      <c r="I58" s="328"/>
      <c r="J58" s="324">
        <v>0</v>
      </c>
      <c r="K58" s="306">
        <f t="shared" si="2"/>
        <v>0</v>
      </c>
      <c r="L58" s="306">
        <f t="shared" si="2"/>
        <v>0</v>
      </c>
      <c r="M58" s="329"/>
      <c r="N58" s="330"/>
      <c r="O58" s="330"/>
    </row>
    <row r="59" spans="1:15" s="7" customFormat="1">
      <c r="A59" s="326">
        <f t="shared" si="12"/>
        <v>45</v>
      </c>
      <c r="B59" s="325">
        <v>4.2</v>
      </c>
      <c r="C59" s="331" t="s">
        <v>24</v>
      </c>
      <c r="D59" s="316">
        <v>0</v>
      </c>
      <c r="E59" s="324">
        <v>0</v>
      </c>
      <c r="F59" s="316">
        <v>0</v>
      </c>
      <c r="G59" s="324">
        <v>0</v>
      </c>
      <c r="H59" s="316">
        <v>0</v>
      </c>
      <c r="I59" s="328"/>
      <c r="J59" s="324">
        <v>0</v>
      </c>
      <c r="K59" s="306">
        <f t="shared" si="2"/>
        <v>0</v>
      </c>
      <c r="L59" s="306">
        <f t="shared" si="2"/>
        <v>0</v>
      </c>
      <c r="M59" s="329"/>
      <c r="N59" s="330"/>
      <c r="O59" s="330"/>
    </row>
    <row r="60" spans="1:15" ht="24">
      <c r="A60" s="39">
        <f t="shared" si="12"/>
        <v>46</v>
      </c>
      <c r="B60" s="325">
        <v>4.21</v>
      </c>
      <c r="C60" s="40" t="s">
        <v>196</v>
      </c>
      <c r="D60" s="316">
        <v>118.5</v>
      </c>
      <c r="E60" s="316">
        <v>118.5</v>
      </c>
      <c r="F60" s="316">
        <v>118.5</v>
      </c>
      <c r="G60" s="316">
        <v>118.5</v>
      </c>
      <c r="H60" s="316">
        <v>118.5</v>
      </c>
      <c r="I60" s="323"/>
      <c r="J60" s="324">
        <v>118.5</v>
      </c>
      <c r="K60" s="306">
        <f t="shared" si="2"/>
        <v>118.5</v>
      </c>
      <c r="L60" s="306">
        <f t="shared" si="2"/>
        <v>118.5</v>
      </c>
      <c r="M60" s="308"/>
      <c r="N60" s="35"/>
      <c r="O60" s="35"/>
    </row>
    <row r="61" spans="1:15">
      <c r="A61" s="39">
        <f t="shared" si="12"/>
        <v>47</v>
      </c>
      <c r="B61" s="325">
        <v>4.22</v>
      </c>
      <c r="C61" s="40" t="s">
        <v>197</v>
      </c>
      <c r="D61" s="316">
        <v>18241</v>
      </c>
      <c r="E61" s="324">
        <v>18241</v>
      </c>
      <c r="F61" s="316">
        <v>18241</v>
      </c>
      <c r="G61" s="324">
        <v>18241</v>
      </c>
      <c r="H61" s="316">
        <v>18241</v>
      </c>
      <c r="I61" s="323"/>
      <c r="J61" s="324">
        <v>18241</v>
      </c>
      <c r="K61" s="306">
        <f t="shared" si="2"/>
        <v>18241</v>
      </c>
      <c r="L61" s="306">
        <f t="shared" si="2"/>
        <v>18241</v>
      </c>
      <c r="M61" s="308"/>
      <c r="N61" s="35"/>
      <c r="O61" s="35"/>
    </row>
    <row r="62" spans="1:15">
      <c r="A62" s="39">
        <f t="shared" si="12"/>
        <v>48</v>
      </c>
      <c r="B62" s="325">
        <v>4.2300000000000004</v>
      </c>
      <c r="C62" s="315" t="s">
        <v>198</v>
      </c>
      <c r="D62" s="316">
        <v>6465.3</v>
      </c>
      <c r="E62" s="324">
        <v>6465.3</v>
      </c>
      <c r="F62" s="316">
        <v>6465.3</v>
      </c>
      <c r="G62" s="324">
        <v>6465.3</v>
      </c>
      <c r="H62" s="316">
        <v>6465.3</v>
      </c>
      <c r="I62" s="323"/>
      <c r="J62" s="324">
        <v>6465.3</v>
      </c>
      <c r="K62" s="306">
        <f t="shared" si="2"/>
        <v>6465.3</v>
      </c>
      <c r="L62" s="306">
        <f t="shared" si="2"/>
        <v>6465.3</v>
      </c>
      <c r="M62" s="308"/>
      <c r="N62" s="35"/>
      <c r="O62" s="35"/>
    </row>
    <row r="63" spans="1:15">
      <c r="A63" s="39">
        <f t="shared" si="12"/>
        <v>49</v>
      </c>
      <c r="B63" s="1216" t="s">
        <v>25</v>
      </c>
      <c r="C63" s="1217"/>
      <c r="D63" s="310">
        <v>31995.8</v>
      </c>
      <c r="E63" s="332">
        <v>26925.9</v>
      </c>
      <c r="F63" s="310">
        <v>37895.800000000003</v>
      </c>
      <c r="G63" s="332">
        <v>37895.800000000003</v>
      </c>
      <c r="H63" s="310">
        <v>37895.800000000003</v>
      </c>
      <c r="I63" s="328"/>
      <c r="J63" s="332">
        <v>37895.800000000003</v>
      </c>
      <c r="K63" s="332">
        <v>37895.800000000003</v>
      </c>
      <c r="L63" s="332">
        <v>37895.800000000003</v>
      </c>
      <c r="M63" s="308"/>
      <c r="N63" s="35">
        <v>18102.309000000001</v>
      </c>
      <c r="O63" s="35"/>
    </row>
    <row r="64" spans="1:15">
      <c r="A64" s="301">
        <f t="shared" si="12"/>
        <v>50</v>
      </c>
      <c r="B64" s="301">
        <v>5</v>
      </c>
      <c r="C64" s="302" t="s">
        <v>199</v>
      </c>
      <c r="D64" s="311"/>
      <c r="E64" s="311"/>
      <c r="F64" s="311"/>
      <c r="G64" s="311"/>
      <c r="H64" s="311"/>
      <c r="I64" s="311"/>
      <c r="J64" s="311"/>
      <c r="K64" s="311"/>
      <c r="L64" s="311"/>
      <c r="M64" s="312"/>
      <c r="N64" s="35"/>
      <c r="O64" s="35"/>
    </row>
    <row r="65" spans="1:15">
      <c r="A65" s="39">
        <f t="shared" si="12"/>
        <v>51</v>
      </c>
      <c r="B65" s="39">
        <v>5.0999999999999996</v>
      </c>
      <c r="C65" s="40" t="s">
        <v>26</v>
      </c>
      <c r="D65" s="306">
        <v>3</v>
      </c>
      <c r="E65" s="306">
        <v>3</v>
      </c>
      <c r="F65" s="306">
        <v>3</v>
      </c>
      <c r="G65" s="306">
        <v>3</v>
      </c>
      <c r="H65" s="306">
        <v>3</v>
      </c>
      <c r="I65" s="306"/>
      <c r="J65" s="306">
        <v>3</v>
      </c>
      <c r="K65" s="306">
        <f t="shared" si="2"/>
        <v>3</v>
      </c>
      <c r="L65" s="306">
        <f t="shared" si="2"/>
        <v>3</v>
      </c>
      <c r="M65" s="308"/>
      <c r="N65" s="35"/>
      <c r="O65" s="35"/>
    </row>
    <row r="66" spans="1:15">
      <c r="A66" s="39">
        <f t="shared" si="12"/>
        <v>52</v>
      </c>
      <c r="B66" s="39">
        <v>5.2</v>
      </c>
      <c r="C66" s="40" t="s">
        <v>27</v>
      </c>
      <c r="D66" s="306">
        <v>1</v>
      </c>
      <c r="E66" s="306">
        <v>1</v>
      </c>
      <c r="F66" s="306">
        <v>1</v>
      </c>
      <c r="G66" s="306">
        <v>1</v>
      </c>
      <c r="H66" s="306">
        <v>1</v>
      </c>
      <c r="I66" s="306"/>
      <c r="J66" s="306">
        <v>1</v>
      </c>
      <c r="K66" s="306">
        <f t="shared" si="2"/>
        <v>1</v>
      </c>
      <c r="L66" s="306">
        <f t="shared" si="2"/>
        <v>1</v>
      </c>
      <c r="M66" s="308"/>
      <c r="N66" s="35"/>
      <c r="O66" s="35"/>
    </row>
    <row r="67" spans="1:15">
      <c r="A67" s="39">
        <f t="shared" si="12"/>
        <v>53</v>
      </c>
      <c r="B67" s="39">
        <v>5.3</v>
      </c>
      <c r="C67" s="40" t="s">
        <v>28</v>
      </c>
      <c r="D67" s="306">
        <v>2</v>
      </c>
      <c r="E67" s="306">
        <v>2</v>
      </c>
      <c r="F67" s="306">
        <v>2</v>
      </c>
      <c r="G67" s="306">
        <v>2</v>
      </c>
      <c r="H67" s="306">
        <v>2</v>
      </c>
      <c r="I67" s="306"/>
      <c r="J67" s="306">
        <v>2</v>
      </c>
      <c r="K67" s="306">
        <f t="shared" si="2"/>
        <v>2</v>
      </c>
      <c r="L67" s="306">
        <f t="shared" si="2"/>
        <v>2</v>
      </c>
      <c r="M67" s="308"/>
      <c r="N67" s="35"/>
      <c r="O67" s="35"/>
    </row>
    <row r="68" spans="1:15">
      <c r="A68" s="39">
        <f t="shared" si="12"/>
        <v>54</v>
      </c>
      <c r="B68" s="39">
        <v>5.4</v>
      </c>
      <c r="C68" s="40" t="s">
        <v>29</v>
      </c>
      <c r="D68" s="306">
        <v>0</v>
      </c>
      <c r="E68" s="306">
        <v>0</v>
      </c>
      <c r="F68" s="306">
        <v>0</v>
      </c>
      <c r="G68" s="306">
        <v>0</v>
      </c>
      <c r="H68" s="306">
        <v>0</v>
      </c>
      <c r="I68" s="306"/>
      <c r="J68" s="306">
        <v>0</v>
      </c>
      <c r="K68" s="306">
        <f t="shared" si="2"/>
        <v>0</v>
      </c>
      <c r="L68" s="306">
        <f t="shared" si="2"/>
        <v>0</v>
      </c>
      <c r="M68" s="308"/>
      <c r="N68" s="35"/>
      <c r="O68" s="35"/>
    </row>
    <row r="69" spans="1:15">
      <c r="A69" s="39">
        <f t="shared" si="12"/>
        <v>55</v>
      </c>
      <c r="B69" s="39">
        <v>5.5</v>
      </c>
      <c r="C69" s="40" t="s">
        <v>30</v>
      </c>
      <c r="D69" s="306">
        <v>0</v>
      </c>
      <c r="E69" s="306">
        <v>0</v>
      </c>
      <c r="F69" s="306">
        <v>0</v>
      </c>
      <c r="G69" s="306">
        <v>0</v>
      </c>
      <c r="H69" s="306">
        <v>0</v>
      </c>
      <c r="I69" s="306"/>
      <c r="J69" s="306">
        <v>0</v>
      </c>
      <c r="K69" s="306">
        <f t="shared" si="2"/>
        <v>0</v>
      </c>
      <c r="L69" s="306">
        <f t="shared" si="2"/>
        <v>0</v>
      </c>
      <c r="M69" s="308"/>
      <c r="N69" s="35"/>
      <c r="O69" s="35"/>
    </row>
    <row r="70" spans="1:15">
      <c r="A70" s="39">
        <f t="shared" si="12"/>
        <v>56</v>
      </c>
      <c r="B70" s="39">
        <v>5.6</v>
      </c>
      <c r="C70" s="40" t="s">
        <v>31</v>
      </c>
      <c r="D70" s="306">
        <v>80000</v>
      </c>
      <c r="E70" s="306">
        <v>80000</v>
      </c>
      <c r="F70" s="306">
        <v>80000</v>
      </c>
      <c r="G70" s="306">
        <v>80000</v>
      </c>
      <c r="H70" s="306">
        <v>80000</v>
      </c>
      <c r="I70" s="306"/>
      <c r="J70" s="306">
        <v>80000</v>
      </c>
      <c r="K70" s="306">
        <f t="shared" si="2"/>
        <v>80000</v>
      </c>
      <c r="L70" s="306">
        <f t="shared" si="2"/>
        <v>80000</v>
      </c>
      <c r="M70" s="308"/>
      <c r="N70" s="35"/>
      <c r="O70" s="35"/>
    </row>
    <row r="71" spans="1:15">
      <c r="A71" s="39">
        <f t="shared" si="12"/>
        <v>57</v>
      </c>
      <c r="B71" s="39">
        <v>5.7</v>
      </c>
      <c r="C71" s="40" t="s">
        <v>27</v>
      </c>
      <c r="D71" s="306">
        <v>50000</v>
      </c>
      <c r="E71" s="306">
        <v>50000</v>
      </c>
      <c r="F71" s="306">
        <v>50000</v>
      </c>
      <c r="G71" s="306">
        <v>50000</v>
      </c>
      <c r="H71" s="306">
        <v>50000</v>
      </c>
      <c r="I71" s="306"/>
      <c r="J71" s="306">
        <v>50000</v>
      </c>
      <c r="K71" s="306">
        <f t="shared" si="2"/>
        <v>50000</v>
      </c>
      <c r="L71" s="306">
        <f t="shared" si="2"/>
        <v>50000</v>
      </c>
      <c r="M71" s="308"/>
      <c r="N71" s="35"/>
      <c r="O71" s="35"/>
    </row>
    <row r="72" spans="1:15">
      <c r="A72" s="39">
        <f t="shared" si="12"/>
        <v>58</v>
      </c>
      <c r="B72" s="39">
        <v>5.8</v>
      </c>
      <c r="C72" s="40" t="s">
        <v>28</v>
      </c>
      <c r="D72" s="306">
        <v>30000</v>
      </c>
      <c r="E72" s="306">
        <v>30000</v>
      </c>
      <c r="F72" s="306">
        <v>30000</v>
      </c>
      <c r="G72" s="306">
        <v>30000</v>
      </c>
      <c r="H72" s="306">
        <v>30000</v>
      </c>
      <c r="I72" s="306"/>
      <c r="J72" s="306">
        <v>30000</v>
      </c>
      <c r="K72" s="306">
        <v>30000</v>
      </c>
      <c r="L72" s="306">
        <f t="shared" si="2"/>
        <v>30000</v>
      </c>
      <c r="M72" s="308"/>
      <c r="N72" s="35"/>
      <c r="O72" s="35"/>
    </row>
    <row r="73" spans="1:15">
      <c r="A73" s="39">
        <f t="shared" si="12"/>
        <v>59</v>
      </c>
      <c r="B73" s="39">
        <v>5.9</v>
      </c>
      <c r="C73" s="40" t="s">
        <v>29</v>
      </c>
      <c r="D73" s="306"/>
      <c r="E73" s="306"/>
      <c r="F73" s="306"/>
      <c r="G73" s="306"/>
      <c r="H73" s="306"/>
      <c r="I73" s="306"/>
      <c r="J73" s="306"/>
      <c r="K73" s="306">
        <f t="shared" si="2"/>
        <v>0</v>
      </c>
      <c r="L73" s="306">
        <f t="shared" si="2"/>
        <v>0</v>
      </c>
      <c r="M73" s="308"/>
      <c r="N73" s="35"/>
      <c r="O73" s="35"/>
    </row>
    <row r="74" spans="1:15">
      <c r="A74" s="39">
        <f t="shared" si="12"/>
        <v>60</v>
      </c>
      <c r="B74" s="39">
        <v>5.0999999999999996</v>
      </c>
      <c r="C74" s="40" t="s">
        <v>30</v>
      </c>
      <c r="D74" s="306"/>
      <c r="E74" s="306"/>
      <c r="F74" s="306"/>
      <c r="G74" s="306"/>
      <c r="H74" s="306"/>
      <c r="I74" s="306"/>
      <c r="J74" s="306"/>
      <c r="K74" s="306">
        <f t="shared" si="2"/>
        <v>0</v>
      </c>
      <c r="L74" s="306">
        <f t="shared" si="2"/>
        <v>0</v>
      </c>
      <c r="M74" s="308"/>
      <c r="N74" s="35"/>
      <c r="O74" s="35"/>
    </row>
    <row r="75" spans="1:15">
      <c r="A75" s="39">
        <f t="shared" si="12"/>
        <v>61</v>
      </c>
      <c r="B75" s="39">
        <v>5.1100000000000003</v>
      </c>
      <c r="C75" s="40" t="s">
        <v>32</v>
      </c>
      <c r="D75" s="306">
        <v>240000</v>
      </c>
      <c r="E75" s="306">
        <v>240000</v>
      </c>
      <c r="F75" s="306">
        <v>240000</v>
      </c>
      <c r="G75" s="306">
        <v>240000</v>
      </c>
      <c r="H75" s="306">
        <v>240000</v>
      </c>
      <c r="I75" s="306"/>
      <c r="J75" s="306">
        <v>240000</v>
      </c>
      <c r="K75" s="306">
        <f t="shared" si="2"/>
        <v>240000</v>
      </c>
      <c r="L75" s="306">
        <f t="shared" si="2"/>
        <v>240000</v>
      </c>
      <c r="M75" s="308"/>
      <c r="N75" s="35"/>
      <c r="O75" s="35"/>
    </row>
    <row r="76" spans="1:15">
      <c r="A76" s="39">
        <f t="shared" si="12"/>
        <v>62</v>
      </c>
      <c r="B76" s="39">
        <v>5.12</v>
      </c>
      <c r="C76" s="40" t="s">
        <v>27</v>
      </c>
      <c r="D76" s="306">
        <v>150000</v>
      </c>
      <c r="E76" s="306">
        <v>150000</v>
      </c>
      <c r="F76" s="306">
        <v>150000</v>
      </c>
      <c r="G76" s="306">
        <v>150000</v>
      </c>
      <c r="H76" s="306">
        <v>150000</v>
      </c>
      <c r="I76" s="306"/>
      <c r="J76" s="306">
        <v>150000</v>
      </c>
      <c r="K76" s="306">
        <f t="shared" si="2"/>
        <v>150000</v>
      </c>
      <c r="L76" s="306">
        <f t="shared" si="2"/>
        <v>150000</v>
      </c>
      <c r="M76" s="308"/>
      <c r="N76" s="35"/>
      <c r="O76" s="35"/>
    </row>
    <row r="77" spans="1:15">
      <c r="A77" s="39">
        <f t="shared" si="12"/>
        <v>63</v>
      </c>
      <c r="B77" s="39">
        <v>5.13</v>
      </c>
      <c r="C77" s="40" t="s">
        <v>28</v>
      </c>
      <c r="D77" s="306">
        <v>90000</v>
      </c>
      <c r="E77" s="306">
        <v>90000</v>
      </c>
      <c r="F77" s="306">
        <v>90000</v>
      </c>
      <c r="G77" s="306">
        <v>90000</v>
      </c>
      <c r="H77" s="306">
        <v>90000</v>
      </c>
      <c r="I77" s="306"/>
      <c r="J77" s="306">
        <v>90000</v>
      </c>
      <c r="K77" s="306">
        <f t="shared" si="2"/>
        <v>90000</v>
      </c>
      <c r="L77" s="306">
        <f t="shared" si="2"/>
        <v>90000</v>
      </c>
      <c r="M77" s="308"/>
      <c r="N77" s="35"/>
      <c r="O77" s="35"/>
    </row>
    <row r="78" spans="1:15">
      <c r="A78" s="39">
        <f t="shared" si="12"/>
        <v>64</v>
      </c>
      <c r="B78" s="39">
        <v>5.14</v>
      </c>
      <c r="C78" s="40" t="s">
        <v>29</v>
      </c>
      <c r="D78" s="306"/>
      <c r="E78" s="306"/>
      <c r="F78" s="306"/>
      <c r="G78" s="306"/>
      <c r="H78" s="306"/>
      <c r="I78" s="306"/>
      <c r="J78" s="306"/>
      <c r="K78" s="306">
        <f t="shared" si="2"/>
        <v>0</v>
      </c>
      <c r="L78" s="306">
        <f t="shared" si="2"/>
        <v>0</v>
      </c>
      <c r="M78" s="308"/>
      <c r="N78" s="35"/>
      <c r="O78" s="35"/>
    </row>
    <row r="79" spans="1:15">
      <c r="A79" s="39">
        <f t="shared" si="12"/>
        <v>65</v>
      </c>
      <c r="B79" s="39">
        <v>5.15</v>
      </c>
      <c r="C79" s="40" t="s">
        <v>30</v>
      </c>
      <c r="D79" s="306"/>
      <c r="E79" s="306"/>
      <c r="F79" s="306"/>
      <c r="G79" s="306"/>
      <c r="H79" s="306"/>
      <c r="I79" s="306"/>
      <c r="J79" s="306"/>
      <c r="K79" s="306">
        <f t="shared" si="2"/>
        <v>0</v>
      </c>
      <c r="L79" s="306">
        <f t="shared" si="2"/>
        <v>0</v>
      </c>
      <c r="M79" s="308"/>
      <c r="N79" s="35"/>
      <c r="O79" s="35"/>
    </row>
    <row r="80" spans="1:15" ht="24">
      <c r="A80" s="39">
        <f t="shared" si="12"/>
        <v>66</v>
      </c>
      <c r="B80" s="39">
        <v>5.16</v>
      </c>
      <c r="C80" s="40" t="s">
        <v>33</v>
      </c>
      <c r="D80" s="306">
        <v>14</v>
      </c>
      <c r="E80" s="306">
        <v>14</v>
      </c>
      <c r="F80" s="306">
        <v>14</v>
      </c>
      <c r="G80" s="306">
        <v>14</v>
      </c>
      <c r="H80" s="306">
        <v>14</v>
      </c>
      <c r="I80" s="306"/>
      <c r="J80" s="306">
        <v>14</v>
      </c>
      <c r="K80" s="306">
        <v>14</v>
      </c>
      <c r="L80" s="306">
        <v>14</v>
      </c>
      <c r="M80" s="308"/>
      <c r="N80" s="35"/>
      <c r="O80" s="35"/>
    </row>
    <row r="81" spans="1:15">
      <c r="A81" s="39">
        <f t="shared" si="12"/>
        <v>67</v>
      </c>
      <c r="B81" s="39">
        <v>5.17</v>
      </c>
      <c r="C81" s="40" t="s">
        <v>27</v>
      </c>
      <c r="D81" s="306">
        <v>12.5</v>
      </c>
      <c r="E81" s="306">
        <v>12.5</v>
      </c>
      <c r="F81" s="306">
        <v>12.5</v>
      </c>
      <c r="G81" s="306">
        <v>12.5</v>
      </c>
      <c r="H81" s="306">
        <v>12.5</v>
      </c>
      <c r="I81" s="306"/>
      <c r="J81" s="306">
        <v>12.5</v>
      </c>
      <c r="K81" s="306">
        <v>12.5</v>
      </c>
      <c r="L81" s="306">
        <v>12.5</v>
      </c>
      <c r="M81" s="308"/>
      <c r="N81" s="35"/>
      <c r="O81" s="35"/>
    </row>
    <row r="82" spans="1:15">
      <c r="A82" s="39">
        <f t="shared" si="12"/>
        <v>68</v>
      </c>
      <c r="B82" s="39">
        <v>5.1800000000000104</v>
      </c>
      <c r="C82" s="40" t="s">
        <v>28</v>
      </c>
      <c r="D82" s="306">
        <v>17</v>
      </c>
      <c r="E82" s="306">
        <v>17</v>
      </c>
      <c r="F82" s="306">
        <v>17</v>
      </c>
      <c r="G82" s="306">
        <v>17</v>
      </c>
      <c r="H82" s="306">
        <v>17</v>
      </c>
      <c r="I82" s="306"/>
      <c r="J82" s="306">
        <v>17</v>
      </c>
      <c r="K82" s="306">
        <v>17</v>
      </c>
      <c r="L82" s="306">
        <v>17</v>
      </c>
      <c r="M82" s="308"/>
      <c r="N82" s="35"/>
      <c r="O82" s="35"/>
    </row>
    <row r="83" spans="1:15">
      <c r="A83" s="39">
        <f t="shared" si="12"/>
        <v>69</v>
      </c>
      <c r="B83" s="39">
        <v>5.1900000000000102</v>
      </c>
      <c r="C83" s="40" t="s">
        <v>29</v>
      </c>
      <c r="D83" s="306">
        <v>0</v>
      </c>
      <c r="E83" s="306">
        <v>0</v>
      </c>
      <c r="F83" s="306">
        <v>0</v>
      </c>
      <c r="G83" s="306">
        <v>0</v>
      </c>
      <c r="H83" s="306">
        <v>0</v>
      </c>
      <c r="I83" s="306"/>
      <c r="J83" s="306">
        <v>0</v>
      </c>
      <c r="K83" s="306">
        <v>0</v>
      </c>
      <c r="L83" s="306">
        <v>0</v>
      </c>
      <c r="M83" s="308"/>
      <c r="N83" s="35"/>
      <c r="O83" s="35"/>
    </row>
    <row r="84" spans="1:15">
      <c r="A84" s="39">
        <f t="shared" si="12"/>
        <v>70</v>
      </c>
      <c r="B84" s="39">
        <v>5.2000000000000099</v>
      </c>
      <c r="C84" s="40" t="s">
        <v>30</v>
      </c>
      <c r="D84" s="306">
        <v>0</v>
      </c>
      <c r="E84" s="306">
        <v>0</v>
      </c>
      <c r="F84" s="306">
        <v>0</v>
      </c>
      <c r="G84" s="306">
        <v>0</v>
      </c>
      <c r="H84" s="306">
        <v>0</v>
      </c>
      <c r="I84" s="306"/>
      <c r="J84" s="306">
        <v>0</v>
      </c>
      <c r="K84" s="306">
        <v>0</v>
      </c>
      <c r="L84" s="306">
        <v>0</v>
      </c>
      <c r="M84" s="308"/>
      <c r="N84" s="35"/>
      <c r="O84" s="35"/>
    </row>
    <row r="85" spans="1:15">
      <c r="A85" s="39">
        <f t="shared" ref="A85:A104" si="13">A84+1</f>
        <v>71</v>
      </c>
      <c r="B85" s="39">
        <v>5.2100000000000097</v>
      </c>
      <c r="C85" s="40" t="s">
        <v>34</v>
      </c>
      <c r="D85" s="306">
        <v>5.5</v>
      </c>
      <c r="E85" s="306">
        <v>5.5</v>
      </c>
      <c r="F85" s="306">
        <v>5.5</v>
      </c>
      <c r="G85" s="306">
        <v>5.5</v>
      </c>
      <c r="H85" s="306">
        <v>5.5</v>
      </c>
      <c r="I85" s="306"/>
      <c r="J85" s="306">
        <v>5.5</v>
      </c>
      <c r="K85" s="306">
        <v>5.5</v>
      </c>
      <c r="L85" s="306">
        <v>5.5</v>
      </c>
      <c r="M85" s="308"/>
      <c r="N85" s="35"/>
      <c r="O85" s="35"/>
    </row>
    <row r="86" spans="1:15">
      <c r="A86" s="39">
        <f t="shared" si="13"/>
        <v>72</v>
      </c>
      <c r="B86" s="39">
        <v>5.2200000000000104</v>
      </c>
      <c r="C86" s="40" t="s">
        <v>27</v>
      </c>
      <c r="D86" s="306">
        <v>2</v>
      </c>
      <c r="E86" s="306">
        <v>2</v>
      </c>
      <c r="F86" s="306">
        <v>2</v>
      </c>
      <c r="G86" s="306">
        <v>2</v>
      </c>
      <c r="H86" s="306">
        <v>2</v>
      </c>
      <c r="I86" s="306"/>
      <c r="J86" s="306">
        <v>2</v>
      </c>
      <c r="K86" s="306">
        <v>2</v>
      </c>
      <c r="L86" s="306">
        <v>2</v>
      </c>
      <c r="M86" s="308"/>
      <c r="N86" s="35"/>
      <c r="O86" s="35"/>
    </row>
    <row r="87" spans="1:15">
      <c r="A87" s="39">
        <f t="shared" si="13"/>
        <v>73</v>
      </c>
      <c r="B87" s="39">
        <v>5.2300000000000102</v>
      </c>
      <c r="C87" s="40" t="s">
        <v>28</v>
      </c>
      <c r="D87" s="306">
        <v>3.5</v>
      </c>
      <c r="E87" s="306">
        <v>3.5</v>
      </c>
      <c r="F87" s="306">
        <v>3.5</v>
      </c>
      <c r="G87" s="306">
        <v>3.5</v>
      </c>
      <c r="H87" s="306">
        <v>3.5</v>
      </c>
      <c r="I87" s="306"/>
      <c r="J87" s="306">
        <v>3.5</v>
      </c>
      <c r="K87" s="306">
        <v>3.5</v>
      </c>
      <c r="L87" s="306">
        <v>3.5</v>
      </c>
      <c r="M87" s="308"/>
      <c r="N87" s="35"/>
      <c r="O87" s="35"/>
    </row>
    <row r="88" spans="1:15">
      <c r="A88" s="39">
        <f t="shared" si="13"/>
        <v>74</v>
      </c>
      <c r="B88" s="39">
        <v>5.24000000000001</v>
      </c>
      <c r="C88" s="40" t="s">
        <v>29</v>
      </c>
      <c r="D88" s="306">
        <v>0</v>
      </c>
      <c r="E88" s="306">
        <v>0</v>
      </c>
      <c r="F88" s="306">
        <v>0</v>
      </c>
      <c r="G88" s="306">
        <v>0</v>
      </c>
      <c r="H88" s="306">
        <v>0</v>
      </c>
      <c r="I88" s="306"/>
      <c r="J88" s="306">
        <v>0</v>
      </c>
      <c r="K88" s="306">
        <v>0</v>
      </c>
      <c r="L88" s="306">
        <v>0</v>
      </c>
      <c r="M88" s="308"/>
      <c r="N88" s="35"/>
      <c r="O88" s="35"/>
    </row>
    <row r="89" spans="1:15">
      <c r="A89" s="39">
        <f t="shared" si="13"/>
        <v>75</v>
      </c>
      <c r="B89" s="39">
        <v>5.2500000000000098</v>
      </c>
      <c r="C89" s="40" t="s">
        <v>30</v>
      </c>
      <c r="D89" s="306">
        <v>0</v>
      </c>
      <c r="E89" s="306">
        <v>0</v>
      </c>
      <c r="F89" s="306">
        <v>0</v>
      </c>
      <c r="G89" s="306">
        <v>0</v>
      </c>
      <c r="H89" s="306">
        <v>0</v>
      </c>
      <c r="I89" s="306"/>
      <c r="J89" s="306">
        <v>0</v>
      </c>
      <c r="K89" s="306">
        <v>0</v>
      </c>
      <c r="L89" s="306">
        <v>0</v>
      </c>
      <c r="M89" s="308"/>
      <c r="N89" s="35"/>
      <c r="O89" s="35"/>
    </row>
    <row r="90" spans="1:15">
      <c r="A90" s="39">
        <f t="shared" si="13"/>
        <v>76</v>
      </c>
      <c r="B90" s="39">
        <v>5.2600000000000096</v>
      </c>
      <c r="C90" s="40" t="s">
        <v>35</v>
      </c>
      <c r="D90" s="306">
        <v>1890</v>
      </c>
      <c r="E90" s="306">
        <v>1890</v>
      </c>
      <c r="F90" s="306">
        <v>1890</v>
      </c>
      <c r="G90" s="306">
        <v>1890</v>
      </c>
      <c r="H90" s="306">
        <v>1890</v>
      </c>
      <c r="I90" s="306"/>
      <c r="J90" s="306">
        <v>1890</v>
      </c>
      <c r="K90" s="306">
        <v>1890</v>
      </c>
      <c r="L90" s="306">
        <v>1890</v>
      </c>
      <c r="M90" s="308"/>
      <c r="N90" s="35"/>
      <c r="O90" s="35"/>
    </row>
    <row r="91" spans="1:15">
      <c r="A91" s="39">
        <f t="shared" si="13"/>
        <v>77</v>
      </c>
      <c r="B91" s="39">
        <v>5.2700000000000102</v>
      </c>
      <c r="C91" s="315" t="s">
        <v>36</v>
      </c>
      <c r="D91" s="306">
        <f>D90*D85</f>
        <v>10395</v>
      </c>
      <c r="E91" s="306">
        <f>E90*E85</f>
        <v>10395</v>
      </c>
      <c r="F91" s="306">
        <f>F90*F85</f>
        <v>10395</v>
      </c>
      <c r="G91" s="306">
        <f>G90*G85</f>
        <v>10395</v>
      </c>
      <c r="H91" s="306">
        <f>H90*H85</f>
        <v>10395</v>
      </c>
      <c r="I91" s="306"/>
      <c r="J91" s="306">
        <f>J90*J85</f>
        <v>10395</v>
      </c>
      <c r="K91" s="306">
        <f>K90*K85</f>
        <v>10395</v>
      </c>
      <c r="L91" s="306">
        <f>L90*L85</f>
        <v>10395</v>
      </c>
      <c r="M91" s="308"/>
      <c r="N91" s="35"/>
      <c r="O91" s="35"/>
    </row>
    <row r="92" spans="1:15">
      <c r="A92" s="39">
        <f t="shared" si="13"/>
        <v>78</v>
      </c>
      <c r="B92" s="39">
        <v>5.28000000000001</v>
      </c>
      <c r="C92" s="40" t="s">
        <v>37</v>
      </c>
      <c r="D92" s="306">
        <v>5</v>
      </c>
      <c r="E92" s="306">
        <v>5</v>
      </c>
      <c r="F92" s="306">
        <v>5</v>
      </c>
      <c r="G92" s="306">
        <v>5</v>
      </c>
      <c r="H92" s="306">
        <v>5</v>
      </c>
      <c r="I92" s="306"/>
      <c r="J92" s="306">
        <v>5</v>
      </c>
      <c r="K92" s="306">
        <v>5</v>
      </c>
      <c r="L92" s="306">
        <v>5</v>
      </c>
      <c r="M92" s="308"/>
      <c r="N92" s="35"/>
      <c r="O92" s="35"/>
    </row>
    <row r="93" spans="1:15">
      <c r="A93" s="39">
        <f t="shared" si="13"/>
        <v>79</v>
      </c>
      <c r="B93" s="39">
        <v>5.2900000000000098</v>
      </c>
      <c r="C93" s="40" t="s">
        <v>200</v>
      </c>
      <c r="D93" s="306">
        <v>89</v>
      </c>
      <c r="E93" s="306">
        <v>85.5</v>
      </c>
      <c r="F93" s="306">
        <v>89</v>
      </c>
      <c r="G93" s="306">
        <v>85.5</v>
      </c>
      <c r="H93" s="306">
        <v>89</v>
      </c>
      <c r="I93" s="306"/>
      <c r="J93" s="306">
        <v>89</v>
      </c>
      <c r="K93" s="306">
        <v>89</v>
      </c>
      <c r="L93" s="306">
        <v>89</v>
      </c>
      <c r="M93" s="308"/>
      <c r="N93" s="35"/>
      <c r="O93" s="35"/>
    </row>
    <row r="94" spans="1:15">
      <c r="A94" s="39">
        <f t="shared" si="13"/>
        <v>80</v>
      </c>
      <c r="B94" s="325">
        <v>5.3000000000000096</v>
      </c>
      <c r="C94" s="315" t="s">
        <v>38</v>
      </c>
      <c r="D94" s="306">
        <v>445</v>
      </c>
      <c r="E94" s="306">
        <f>E95-E91</f>
        <v>427.5</v>
      </c>
      <c r="F94" s="306">
        <v>445</v>
      </c>
      <c r="G94" s="306">
        <f>G95-G91</f>
        <v>5445</v>
      </c>
      <c r="H94" s="306">
        <v>445</v>
      </c>
      <c r="I94" s="306"/>
      <c r="J94" s="306">
        <v>445</v>
      </c>
      <c r="K94" s="306">
        <v>445</v>
      </c>
      <c r="L94" s="306">
        <v>445</v>
      </c>
      <c r="M94" s="308"/>
      <c r="N94" s="35"/>
      <c r="O94" s="35"/>
    </row>
    <row r="95" spans="1:15">
      <c r="A95" s="39">
        <f t="shared" si="13"/>
        <v>81</v>
      </c>
      <c r="B95" s="1216" t="s">
        <v>39</v>
      </c>
      <c r="C95" s="1217"/>
      <c r="D95" s="320">
        <f>D91+D94</f>
        <v>10840</v>
      </c>
      <c r="E95" s="320">
        <v>10822.5</v>
      </c>
      <c r="F95" s="320">
        <v>15840</v>
      </c>
      <c r="G95" s="320">
        <v>15840</v>
      </c>
      <c r="H95" s="320">
        <f>H91+H94</f>
        <v>10840</v>
      </c>
      <c r="I95" s="321"/>
      <c r="J95" s="320">
        <f>J91+J94</f>
        <v>10840</v>
      </c>
      <c r="K95" s="320">
        <f>K91+K94</f>
        <v>10840</v>
      </c>
      <c r="L95" s="320">
        <f>L91+L94</f>
        <v>10840</v>
      </c>
      <c r="M95" s="308"/>
      <c r="N95" s="35">
        <v>5675</v>
      </c>
      <c r="O95" s="35"/>
    </row>
    <row r="96" spans="1:15">
      <c r="A96" s="301">
        <f t="shared" si="13"/>
        <v>82</v>
      </c>
      <c r="B96" s="301">
        <v>6</v>
      </c>
      <c r="C96" s="302" t="s">
        <v>201</v>
      </c>
      <c r="D96" s="311"/>
      <c r="E96" s="311"/>
      <c r="F96" s="311"/>
      <c r="G96" s="311"/>
      <c r="H96" s="311"/>
      <c r="I96" s="311"/>
      <c r="J96" s="311"/>
      <c r="K96" s="311"/>
      <c r="L96" s="311"/>
      <c r="M96" s="312"/>
      <c r="N96" s="35"/>
      <c r="O96" s="35"/>
    </row>
    <row r="97" spans="1:15">
      <c r="A97" s="39">
        <f t="shared" si="13"/>
        <v>83</v>
      </c>
      <c r="B97" s="39">
        <v>6.1</v>
      </c>
      <c r="C97" s="40" t="s">
        <v>202</v>
      </c>
      <c r="D97" s="322">
        <v>792</v>
      </c>
      <c r="E97" s="322">
        <v>792</v>
      </c>
      <c r="F97" s="322">
        <v>792</v>
      </c>
      <c r="G97" s="322">
        <v>792</v>
      </c>
      <c r="H97" s="322">
        <v>3660</v>
      </c>
      <c r="I97" s="306"/>
      <c r="J97" s="322">
        <f>H97+I97</f>
        <v>3660</v>
      </c>
      <c r="K97" s="306">
        <f t="shared" ref="K97:L143" si="14">J97</f>
        <v>3660</v>
      </c>
      <c r="L97" s="306">
        <f t="shared" si="14"/>
        <v>3660</v>
      </c>
      <c r="M97" s="308"/>
      <c r="N97" s="35"/>
      <c r="O97" s="35"/>
    </row>
    <row r="98" spans="1:15">
      <c r="A98" s="39">
        <f t="shared" si="13"/>
        <v>84</v>
      </c>
      <c r="B98" s="39">
        <v>6.2</v>
      </c>
      <c r="C98" s="40" t="s">
        <v>40</v>
      </c>
      <c r="D98" s="306">
        <v>1980</v>
      </c>
      <c r="E98" s="306">
        <v>1980</v>
      </c>
      <c r="F98" s="306">
        <v>1980</v>
      </c>
      <c r="G98" s="306">
        <v>1980</v>
      </c>
      <c r="H98" s="306">
        <v>88</v>
      </c>
      <c r="I98" s="306"/>
      <c r="J98" s="322">
        <f t="shared" ref="J98:J104" si="15">H98+I98</f>
        <v>88</v>
      </c>
      <c r="K98" s="306">
        <f t="shared" si="14"/>
        <v>88</v>
      </c>
      <c r="L98" s="306">
        <f t="shared" si="14"/>
        <v>88</v>
      </c>
      <c r="M98" s="308"/>
      <c r="N98" s="35"/>
      <c r="O98" s="35"/>
    </row>
    <row r="99" spans="1:15">
      <c r="A99" s="39">
        <f t="shared" si="13"/>
        <v>85</v>
      </c>
      <c r="B99" s="39">
        <v>6.3</v>
      </c>
      <c r="C99" s="315" t="s">
        <v>41</v>
      </c>
      <c r="D99" s="306">
        <v>1568.1</v>
      </c>
      <c r="E99" s="306">
        <v>1568.1</v>
      </c>
      <c r="F99" s="306">
        <v>1568.1</v>
      </c>
      <c r="G99" s="306">
        <v>1568.1</v>
      </c>
      <c r="H99" s="306">
        <v>322.10000000000002</v>
      </c>
      <c r="I99" s="306"/>
      <c r="J99" s="322">
        <f t="shared" si="15"/>
        <v>322.10000000000002</v>
      </c>
      <c r="K99" s="306">
        <f t="shared" si="14"/>
        <v>322.10000000000002</v>
      </c>
      <c r="L99" s="306">
        <f t="shared" si="14"/>
        <v>322.10000000000002</v>
      </c>
      <c r="M99" s="308"/>
      <c r="N99" s="35"/>
      <c r="O99" s="35"/>
    </row>
    <row r="100" spans="1:15">
      <c r="A100" s="39">
        <f t="shared" si="13"/>
        <v>86</v>
      </c>
      <c r="B100" s="39">
        <v>6.4</v>
      </c>
      <c r="C100" s="40" t="s">
        <v>42</v>
      </c>
      <c r="D100" s="306">
        <v>9</v>
      </c>
      <c r="E100" s="306">
        <v>9</v>
      </c>
      <c r="F100" s="306">
        <v>9</v>
      </c>
      <c r="G100" s="306">
        <v>9</v>
      </c>
      <c r="H100" s="306">
        <v>24</v>
      </c>
      <c r="I100" s="306"/>
      <c r="J100" s="322">
        <f t="shared" si="15"/>
        <v>24</v>
      </c>
      <c r="K100" s="306">
        <f t="shared" si="14"/>
        <v>24</v>
      </c>
      <c r="L100" s="306">
        <f t="shared" si="14"/>
        <v>24</v>
      </c>
      <c r="M100" s="308"/>
      <c r="N100" s="35"/>
      <c r="O100" s="35"/>
    </row>
    <row r="101" spans="1:15">
      <c r="A101" s="39">
        <f t="shared" si="13"/>
        <v>87</v>
      </c>
      <c r="B101" s="39">
        <v>6.5</v>
      </c>
      <c r="C101" s="40" t="s">
        <v>43</v>
      </c>
      <c r="D101" s="306">
        <v>6</v>
      </c>
      <c r="E101" s="306">
        <v>6</v>
      </c>
      <c r="F101" s="306">
        <v>6</v>
      </c>
      <c r="G101" s="306">
        <v>6</v>
      </c>
      <c r="H101" s="306">
        <v>6</v>
      </c>
      <c r="I101" s="306"/>
      <c r="J101" s="322">
        <f t="shared" si="15"/>
        <v>6</v>
      </c>
      <c r="K101" s="306">
        <f t="shared" si="14"/>
        <v>6</v>
      </c>
      <c r="L101" s="306">
        <f t="shared" si="14"/>
        <v>6</v>
      </c>
      <c r="M101" s="308"/>
      <c r="N101" s="35"/>
      <c r="O101" s="35"/>
    </row>
    <row r="102" spans="1:15">
      <c r="A102" s="39">
        <f t="shared" si="13"/>
        <v>88</v>
      </c>
      <c r="B102" s="39">
        <v>6.6</v>
      </c>
      <c r="C102" s="40" t="s">
        <v>44</v>
      </c>
      <c r="D102" s="306">
        <v>72</v>
      </c>
      <c r="E102" s="306">
        <v>72</v>
      </c>
      <c r="F102" s="306">
        <v>72</v>
      </c>
      <c r="G102" s="306">
        <v>72</v>
      </c>
      <c r="H102" s="306">
        <v>144</v>
      </c>
      <c r="I102" s="306"/>
      <c r="J102" s="322">
        <f t="shared" si="15"/>
        <v>144</v>
      </c>
      <c r="K102" s="306">
        <f t="shared" si="14"/>
        <v>144</v>
      </c>
      <c r="L102" s="306">
        <f t="shared" si="14"/>
        <v>144</v>
      </c>
      <c r="M102" s="308"/>
      <c r="N102" s="35"/>
      <c r="O102" s="35"/>
    </row>
    <row r="103" spans="1:15">
      <c r="A103" s="39">
        <f t="shared" si="13"/>
        <v>89</v>
      </c>
      <c r="B103" s="39">
        <v>6.7</v>
      </c>
      <c r="C103" s="315" t="s">
        <v>45</v>
      </c>
      <c r="D103" s="306">
        <v>920.5</v>
      </c>
      <c r="E103" s="306">
        <v>920.5</v>
      </c>
      <c r="F103" s="306">
        <v>920.5</v>
      </c>
      <c r="G103" s="306">
        <v>920.5</v>
      </c>
      <c r="H103" s="306">
        <v>978.9</v>
      </c>
      <c r="I103" s="306"/>
      <c r="J103" s="322">
        <f t="shared" si="15"/>
        <v>978.9</v>
      </c>
      <c r="K103" s="306">
        <f t="shared" si="14"/>
        <v>978.9</v>
      </c>
      <c r="L103" s="306">
        <f t="shared" si="14"/>
        <v>978.9</v>
      </c>
      <c r="M103" s="308"/>
      <c r="N103" s="35"/>
      <c r="O103" s="35"/>
    </row>
    <row r="104" spans="1:15">
      <c r="A104" s="39">
        <f t="shared" si="13"/>
        <v>90</v>
      </c>
      <c r="B104" s="39">
        <v>6.8</v>
      </c>
      <c r="C104" s="315" t="s">
        <v>46</v>
      </c>
      <c r="D104" s="306">
        <v>13001.1</v>
      </c>
      <c r="E104" s="306">
        <f>E105-E99</f>
        <v>12703.3</v>
      </c>
      <c r="F104" s="306">
        <v>13001.1</v>
      </c>
      <c r="G104" s="306">
        <f>G105-G99</f>
        <v>10501.1</v>
      </c>
      <c r="H104" s="306">
        <v>11747.1</v>
      </c>
      <c r="I104" s="306"/>
      <c r="J104" s="322">
        <f t="shared" si="15"/>
        <v>11747.1</v>
      </c>
      <c r="K104" s="306">
        <f t="shared" si="14"/>
        <v>11747.1</v>
      </c>
      <c r="L104" s="306">
        <f t="shared" si="14"/>
        <v>11747.1</v>
      </c>
      <c r="M104" s="308"/>
      <c r="N104" s="35"/>
      <c r="O104" s="35"/>
    </row>
    <row r="105" spans="1:15" s="254" customFormat="1">
      <c r="A105" s="39">
        <f>+A104+1</f>
        <v>91</v>
      </c>
      <c r="B105" s="1216" t="s">
        <v>48</v>
      </c>
      <c r="C105" s="1217"/>
      <c r="D105" s="320">
        <v>14569.2</v>
      </c>
      <c r="E105" s="320">
        <v>14271.4</v>
      </c>
      <c r="F105" s="320">
        <v>12069.2</v>
      </c>
      <c r="G105" s="320">
        <v>12069.2</v>
      </c>
      <c r="H105" s="320">
        <f>H104+H99</f>
        <v>12069.2</v>
      </c>
      <c r="I105" s="320"/>
      <c r="J105" s="320">
        <f>H105+I105</f>
        <v>12069.2</v>
      </c>
      <c r="K105" s="320">
        <f t="shared" ref="K105:L105" si="16">I105+J105</f>
        <v>12069.2</v>
      </c>
      <c r="L105" s="320">
        <f t="shared" si="16"/>
        <v>24138.400000000001</v>
      </c>
      <c r="M105" s="333"/>
      <c r="N105" s="283">
        <v>2318.2224500000002</v>
      </c>
      <c r="O105" s="283"/>
    </row>
    <row r="106" spans="1:15">
      <c r="A106" s="301">
        <f t="shared" ref="A106:A137" si="17">A105+1</f>
        <v>92</v>
      </c>
      <c r="B106" s="301">
        <v>7</v>
      </c>
      <c r="C106" s="302" t="s">
        <v>203</v>
      </c>
      <c r="D106" s="311"/>
      <c r="E106" s="311"/>
      <c r="F106" s="311"/>
      <c r="G106" s="311"/>
      <c r="H106" s="311"/>
      <c r="I106" s="311"/>
      <c r="J106" s="311"/>
      <c r="K106" s="311"/>
      <c r="L106" s="311"/>
      <c r="M106" s="334"/>
      <c r="N106" s="35"/>
      <c r="O106" s="35"/>
    </row>
    <row r="107" spans="1:15" ht="24">
      <c r="A107" s="39">
        <f t="shared" si="17"/>
        <v>93</v>
      </c>
      <c r="B107" s="39">
        <v>7.1</v>
      </c>
      <c r="C107" s="40" t="s">
        <v>49</v>
      </c>
      <c r="D107" s="313">
        <v>2500</v>
      </c>
      <c r="E107" s="313">
        <v>2500</v>
      </c>
      <c r="F107" s="313">
        <v>2500</v>
      </c>
      <c r="G107" s="313">
        <v>2500</v>
      </c>
      <c r="H107" s="313">
        <v>2500</v>
      </c>
      <c r="I107" s="306"/>
      <c r="J107" s="313">
        <v>2500</v>
      </c>
      <c r="K107" s="306">
        <f t="shared" si="14"/>
        <v>2500</v>
      </c>
      <c r="L107" s="306">
        <f t="shared" si="14"/>
        <v>2500</v>
      </c>
      <c r="M107" s="308"/>
      <c r="N107" s="35"/>
      <c r="O107" s="35"/>
    </row>
    <row r="108" spans="1:15" ht="24">
      <c r="A108" s="39">
        <f t="shared" si="17"/>
        <v>94</v>
      </c>
      <c r="B108" s="39">
        <v>7.2</v>
      </c>
      <c r="C108" s="40" t="s">
        <v>186</v>
      </c>
      <c r="D108" s="306"/>
      <c r="E108" s="306"/>
      <c r="F108" s="306"/>
      <c r="G108" s="306"/>
      <c r="H108" s="306"/>
      <c r="I108" s="306"/>
      <c r="J108" s="306"/>
      <c r="K108" s="306">
        <f t="shared" si="14"/>
        <v>0</v>
      </c>
      <c r="L108" s="306">
        <f t="shared" si="14"/>
        <v>0</v>
      </c>
      <c r="M108" s="308"/>
      <c r="N108" s="35"/>
      <c r="O108" s="35"/>
    </row>
    <row r="109" spans="1:15">
      <c r="A109" s="39">
        <f t="shared" si="17"/>
        <v>95</v>
      </c>
      <c r="B109" s="39">
        <v>7.3</v>
      </c>
      <c r="C109" s="40" t="s">
        <v>50</v>
      </c>
      <c r="D109" s="335">
        <v>950</v>
      </c>
      <c r="E109" s="335">
        <v>950</v>
      </c>
      <c r="F109" s="335">
        <v>950</v>
      </c>
      <c r="G109" s="335">
        <v>950</v>
      </c>
      <c r="H109" s="335">
        <v>950</v>
      </c>
      <c r="I109" s="306"/>
      <c r="J109" s="335">
        <v>950</v>
      </c>
      <c r="K109" s="306">
        <f t="shared" si="14"/>
        <v>950</v>
      </c>
      <c r="L109" s="306">
        <f t="shared" si="14"/>
        <v>950</v>
      </c>
      <c r="M109" s="308"/>
      <c r="N109" s="35"/>
      <c r="O109" s="35"/>
    </row>
    <row r="110" spans="1:15">
      <c r="A110" s="39">
        <f t="shared" si="17"/>
        <v>96</v>
      </c>
      <c r="B110" s="39">
        <v>7.4</v>
      </c>
      <c r="C110" s="40" t="s">
        <v>51</v>
      </c>
      <c r="D110" s="306"/>
      <c r="E110" s="306"/>
      <c r="F110" s="306"/>
      <c r="G110" s="306"/>
      <c r="H110" s="306"/>
      <c r="I110" s="306"/>
      <c r="J110" s="306"/>
      <c r="K110" s="306">
        <f t="shared" si="14"/>
        <v>0</v>
      </c>
      <c r="L110" s="306">
        <f t="shared" si="14"/>
        <v>0</v>
      </c>
      <c r="M110" s="308"/>
      <c r="N110" s="35"/>
      <c r="O110" s="35"/>
    </row>
    <row r="111" spans="1:15" ht="24">
      <c r="A111" s="39">
        <f t="shared" si="17"/>
        <v>97</v>
      </c>
      <c r="B111" s="39">
        <v>7.5</v>
      </c>
      <c r="C111" s="40" t="s">
        <v>52</v>
      </c>
      <c r="D111" s="306">
        <v>1700</v>
      </c>
      <c r="E111" s="306">
        <v>1700</v>
      </c>
      <c r="F111" s="306">
        <v>1700</v>
      </c>
      <c r="G111" s="306">
        <v>1700</v>
      </c>
      <c r="H111" s="306">
        <v>1700</v>
      </c>
      <c r="I111" s="306"/>
      <c r="J111" s="306">
        <v>1700</v>
      </c>
      <c r="K111" s="306">
        <f t="shared" si="14"/>
        <v>1700</v>
      </c>
      <c r="L111" s="306">
        <f t="shared" si="14"/>
        <v>1700</v>
      </c>
      <c r="M111" s="308"/>
      <c r="N111" s="35"/>
      <c r="O111" s="35"/>
    </row>
    <row r="112" spans="1:15" ht="24">
      <c r="A112" s="39">
        <f t="shared" si="17"/>
        <v>98</v>
      </c>
      <c r="B112" s="39">
        <v>7.6</v>
      </c>
      <c r="C112" s="40" t="s">
        <v>186</v>
      </c>
      <c r="D112" s="306">
        <v>0</v>
      </c>
      <c r="E112" s="306">
        <v>0</v>
      </c>
      <c r="F112" s="306">
        <v>0</v>
      </c>
      <c r="G112" s="306">
        <v>0</v>
      </c>
      <c r="H112" s="306">
        <v>0</v>
      </c>
      <c r="I112" s="306"/>
      <c r="J112" s="306">
        <v>0</v>
      </c>
      <c r="K112" s="306">
        <f t="shared" si="14"/>
        <v>0</v>
      </c>
      <c r="L112" s="306">
        <f t="shared" si="14"/>
        <v>0</v>
      </c>
      <c r="M112" s="308"/>
      <c r="N112" s="35"/>
      <c r="O112" s="35"/>
    </row>
    <row r="113" spans="1:15">
      <c r="A113" s="39">
        <f t="shared" si="17"/>
        <v>99</v>
      </c>
      <c r="B113" s="39">
        <v>7.7</v>
      </c>
      <c r="C113" s="40" t="s">
        <v>53</v>
      </c>
      <c r="D113" s="306">
        <v>720</v>
      </c>
      <c r="E113" s="306">
        <v>720</v>
      </c>
      <c r="F113" s="306">
        <v>720</v>
      </c>
      <c r="G113" s="306">
        <v>720</v>
      </c>
      <c r="H113" s="306">
        <v>720</v>
      </c>
      <c r="I113" s="306"/>
      <c r="J113" s="306">
        <v>720</v>
      </c>
      <c r="K113" s="306">
        <f t="shared" si="14"/>
        <v>720</v>
      </c>
      <c r="L113" s="306">
        <f t="shared" si="14"/>
        <v>720</v>
      </c>
      <c r="M113" s="308"/>
      <c r="N113" s="35"/>
      <c r="O113" s="35"/>
    </row>
    <row r="114" spans="1:15">
      <c r="A114" s="39">
        <f t="shared" si="17"/>
        <v>100</v>
      </c>
      <c r="B114" s="39">
        <v>7.8</v>
      </c>
      <c r="C114" s="315" t="s">
        <v>54</v>
      </c>
      <c r="D114" s="306"/>
      <c r="E114" s="306"/>
      <c r="F114" s="306"/>
      <c r="G114" s="306"/>
      <c r="H114" s="306"/>
      <c r="I114" s="306"/>
      <c r="J114" s="306"/>
      <c r="K114" s="306">
        <f t="shared" si="14"/>
        <v>0</v>
      </c>
      <c r="L114" s="306">
        <f t="shared" si="14"/>
        <v>0</v>
      </c>
      <c r="M114" s="308"/>
      <c r="N114" s="35"/>
      <c r="O114" s="35"/>
    </row>
    <row r="115" spans="1:15">
      <c r="A115" s="39">
        <f t="shared" si="17"/>
        <v>101</v>
      </c>
      <c r="B115" s="39">
        <v>7.9</v>
      </c>
      <c r="C115" s="40" t="s">
        <v>55</v>
      </c>
      <c r="D115" s="314">
        <v>0</v>
      </c>
      <c r="E115" s="314">
        <v>0</v>
      </c>
      <c r="F115" s="314">
        <v>0</v>
      </c>
      <c r="G115" s="314">
        <v>0</v>
      </c>
      <c r="H115" s="314">
        <v>0</v>
      </c>
      <c r="I115" s="306"/>
      <c r="J115" s="314">
        <v>0</v>
      </c>
      <c r="K115" s="306">
        <f t="shared" si="14"/>
        <v>0</v>
      </c>
      <c r="L115" s="306">
        <f t="shared" si="14"/>
        <v>0</v>
      </c>
      <c r="M115" s="308"/>
      <c r="N115" s="35"/>
      <c r="O115" s="35"/>
    </row>
    <row r="116" spans="1:15">
      <c r="A116" s="39">
        <f t="shared" si="17"/>
        <v>102</v>
      </c>
      <c r="B116" s="39">
        <v>7.1</v>
      </c>
      <c r="C116" s="40" t="s">
        <v>56</v>
      </c>
      <c r="D116" s="314">
        <v>0</v>
      </c>
      <c r="E116" s="314">
        <v>0</v>
      </c>
      <c r="F116" s="314">
        <v>0</v>
      </c>
      <c r="G116" s="314">
        <v>0</v>
      </c>
      <c r="H116" s="314">
        <v>0</v>
      </c>
      <c r="I116" s="306"/>
      <c r="J116" s="314">
        <v>0</v>
      </c>
      <c r="K116" s="306">
        <f t="shared" si="14"/>
        <v>0</v>
      </c>
      <c r="L116" s="306">
        <f t="shared" si="14"/>
        <v>0</v>
      </c>
      <c r="M116" s="308"/>
      <c r="N116" s="35"/>
      <c r="O116" s="35"/>
    </row>
    <row r="117" spans="1:15">
      <c r="A117" s="39">
        <f t="shared" si="17"/>
        <v>103</v>
      </c>
      <c r="B117" s="39">
        <v>7.11</v>
      </c>
      <c r="C117" s="315" t="s">
        <v>57</v>
      </c>
      <c r="D117" s="314">
        <v>0</v>
      </c>
      <c r="E117" s="314">
        <v>0</v>
      </c>
      <c r="F117" s="314">
        <v>0</v>
      </c>
      <c r="G117" s="314">
        <v>0</v>
      </c>
      <c r="H117" s="314">
        <v>0</v>
      </c>
      <c r="I117" s="306"/>
      <c r="J117" s="314">
        <v>0</v>
      </c>
      <c r="K117" s="306">
        <f t="shared" si="14"/>
        <v>0</v>
      </c>
      <c r="L117" s="306">
        <f t="shared" si="14"/>
        <v>0</v>
      </c>
      <c r="M117" s="308"/>
      <c r="N117" s="35"/>
      <c r="O117" s="35"/>
    </row>
    <row r="118" spans="1:15">
      <c r="A118" s="39">
        <f t="shared" si="17"/>
        <v>104</v>
      </c>
      <c r="B118" s="1216" t="s">
        <v>58</v>
      </c>
      <c r="C118" s="1217"/>
      <c r="D118" s="310">
        <v>21800</v>
      </c>
      <c r="E118" s="310">
        <v>20579.099999999999</v>
      </c>
      <c r="F118" s="310">
        <v>21800</v>
      </c>
      <c r="G118" s="310">
        <v>21800</v>
      </c>
      <c r="H118" s="310">
        <v>21800</v>
      </c>
      <c r="I118" s="336"/>
      <c r="J118" s="310">
        <v>21800</v>
      </c>
      <c r="K118" s="310">
        <v>21800</v>
      </c>
      <c r="L118" s="310">
        <v>21800</v>
      </c>
      <c r="M118" s="308"/>
      <c r="N118" s="35">
        <v>6163.4080000000004</v>
      </c>
      <c r="O118" s="35"/>
    </row>
    <row r="119" spans="1:15">
      <c r="A119" s="301">
        <f t="shared" si="17"/>
        <v>105</v>
      </c>
      <c r="B119" s="301">
        <v>8</v>
      </c>
      <c r="C119" s="302" t="s">
        <v>204</v>
      </c>
      <c r="D119" s="311"/>
      <c r="E119" s="311"/>
      <c r="F119" s="311"/>
      <c r="G119" s="311"/>
      <c r="H119" s="311"/>
      <c r="I119" s="311"/>
      <c r="J119" s="311"/>
      <c r="K119" s="311"/>
      <c r="L119" s="311"/>
      <c r="M119" s="312"/>
      <c r="N119" s="35"/>
      <c r="O119" s="35"/>
    </row>
    <row r="120" spans="1:15">
      <c r="A120" s="39">
        <f t="shared" si="17"/>
        <v>106</v>
      </c>
      <c r="B120" s="39">
        <v>8.1</v>
      </c>
      <c r="C120" s="40" t="s">
        <v>59</v>
      </c>
      <c r="D120" s="314">
        <v>188</v>
      </c>
      <c r="E120" s="314">
        <v>188</v>
      </c>
      <c r="F120" s="991">
        <v>188</v>
      </c>
      <c r="G120" s="991">
        <v>188</v>
      </c>
      <c r="H120" s="314">
        <f>306+42+38</f>
        <v>386</v>
      </c>
      <c r="I120" s="306"/>
      <c r="J120" s="314">
        <f>H120+I120</f>
        <v>386</v>
      </c>
      <c r="K120" s="306">
        <f t="shared" si="14"/>
        <v>386</v>
      </c>
      <c r="L120" s="306">
        <f t="shared" si="14"/>
        <v>386</v>
      </c>
      <c r="M120" s="308"/>
      <c r="N120" s="35"/>
      <c r="O120" s="35"/>
    </row>
    <row r="121" spans="1:15">
      <c r="A121" s="39">
        <f t="shared" si="17"/>
        <v>107</v>
      </c>
      <c r="B121" s="39">
        <v>8.1999999999999993</v>
      </c>
      <c r="C121" s="40" t="s">
        <v>60</v>
      </c>
      <c r="D121" s="314">
        <v>0</v>
      </c>
      <c r="E121" s="314">
        <v>0</v>
      </c>
      <c r="F121" s="991">
        <v>0</v>
      </c>
      <c r="G121" s="991">
        <v>0</v>
      </c>
      <c r="H121" s="314">
        <v>0</v>
      </c>
      <c r="I121" s="306"/>
      <c r="J121" s="314">
        <f t="shared" ref="J121:J166" si="18">H121+I121</f>
        <v>0</v>
      </c>
      <c r="K121" s="306">
        <f t="shared" si="14"/>
        <v>0</v>
      </c>
      <c r="L121" s="306">
        <f t="shared" si="14"/>
        <v>0</v>
      </c>
      <c r="M121" s="308"/>
      <c r="N121" s="35"/>
      <c r="O121" s="35"/>
    </row>
    <row r="122" spans="1:15">
      <c r="A122" s="39">
        <f t="shared" si="17"/>
        <v>108</v>
      </c>
      <c r="B122" s="39">
        <v>8.3000000000000007</v>
      </c>
      <c r="C122" s="40" t="s">
        <v>61</v>
      </c>
      <c r="D122" s="314">
        <v>188</v>
      </c>
      <c r="E122" s="314">
        <v>188</v>
      </c>
      <c r="F122" s="991">
        <v>188</v>
      </c>
      <c r="G122" s="991">
        <v>188</v>
      </c>
      <c r="H122" s="314">
        <v>128</v>
      </c>
      <c r="I122" s="306"/>
      <c r="J122" s="314">
        <f t="shared" si="18"/>
        <v>128</v>
      </c>
      <c r="K122" s="306">
        <f t="shared" si="14"/>
        <v>128</v>
      </c>
      <c r="L122" s="306">
        <f t="shared" si="14"/>
        <v>128</v>
      </c>
      <c r="M122" s="308"/>
      <c r="N122" s="35"/>
      <c r="O122" s="35"/>
    </row>
    <row r="123" spans="1:15">
      <c r="A123" s="39">
        <f t="shared" si="17"/>
        <v>109</v>
      </c>
      <c r="B123" s="39">
        <v>8.4</v>
      </c>
      <c r="C123" s="40" t="s">
        <v>62</v>
      </c>
      <c r="D123" s="314">
        <v>113</v>
      </c>
      <c r="E123" s="314">
        <v>113</v>
      </c>
      <c r="F123" s="991">
        <v>113</v>
      </c>
      <c r="G123" s="991">
        <v>113</v>
      </c>
      <c r="H123" s="314">
        <v>258</v>
      </c>
      <c r="I123" s="306"/>
      <c r="J123" s="314">
        <f t="shared" si="18"/>
        <v>258</v>
      </c>
      <c r="K123" s="306">
        <f t="shared" si="14"/>
        <v>258</v>
      </c>
      <c r="L123" s="306">
        <f t="shared" si="14"/>
        <v>258</v>
      </c>
      <c r="M123" s="308"/>
      <c r="N123" s="35"/>
      <c r="O123" s="35"/>
    </row>
    <row r="124" spans="1:15">
      <c r="A124" s="39">
        <f t="shared" si="17"/>
        <v>110</v>
      </c>
      <c r="B124" s="39">
        <v>8.5</v>
      </c>
      <c r="C124" s="40" t="s">
        <v>63</v>
      </c>
      <c r="D124" s="314">
        <v>0</v>
      </c>
      <c r="E124" s="314">
        <v>0</v>
      </c>
      <c r="F124" s="991">
        <v>0</v>
      </c>
      <c r="G124" s="991">
        <v>0</v>
      </c>
      <c r="H124" s="314">
        <v>0</v>
      </c>
      <c r="I124" s="306"/>
      <c r="J124" s="314">
        <f t="shared" si="18"/>
        <v>0</v>
      </c>
      <c r="K124" s="306">
        <f t="shared" si="14"/>
        <v>0</v>
      </c>
      <c r="L124" s="306">
        <f t="shared" si="14"/>
        <v>0</v>
      </c>
      <c r="M124" s="308"/>
      <c r="N124" s="35"/>
      <c r="O124" s="35"/>
    </row>
    <row r="125" spans="1:15">
      <c r="A125" s="39">
        <f t="shared" si="17"/>
        <v>111</v>
      </c>
      <c r="B125" s="39">
        <v>8.6</v>
      </c>
      <c r="C125" s="40" t="s">
        <v>64</v>
      </c>
      <c r="D125" s="314">
        <v>12</v>
      </c>
      <c r="E125" s="314">
        <v>12</v>
      </c>
      <c r="F125" s="991">
        <v>12</v>
      </c>
      <c r="G125" s="991">
        <v>12</v>
      </c>
      <c r="H125" s="314">
        <v>3</v>
      </c>
      <c r="I125" s="306"/>
      <c r="J125" s="314">
        <f t="shared" si="18"/>
        <v>3</v>
      </c>
      <c r="K125" s="306">
        <f t="shared" si="14"/>
        <v>3</v>
      </c>
      <c r="L125" s="306">
        <f t="shared" si="14"/>
        <v>3</v>
      </c>
      <c r="M125" s="308"/>
      <c r="N125" s="35"/>
      <c r="O125" s="35"/>
    </row>
    <row r="126" spans="1:15">
      <c r="A126" s="39">
        <f t="shared" si="17"/>
        <v>112</v>
      </c>
      <c r="B126" s="39">
        <v>8.6999999999999993</v>
      </c>
      <c r="C126" s="40" t="s">
        <v>60</v>
      </c>
      <c r="D126" s="314"/>
      <c r="E126" s="314"/>
      <c r="F126" s="991"/>
      <c r="G126" s="991"/>
      <c r="H126" s="314"/>
      <c r="I126" s="306"/>
      <c r="J126" s="314"/>
      <c r="K126" s="306">
        <f t="shared" si="14"/>
        <v>0</v>
      </c>
      <c r="L126" s="306">
        <f t="shared" si="14"/>
        <v>0</v>
      </c>
      <c r="M126" s="308"/>
      <c r="N126" s="35"/>
      <c r="O126" s="35"/>
    </row>
    <row r="127" spans="1:15">
      <c r="A127" s="39">
        <f t="shared" si="17"/>
        <v>113</v>
      </c>
      <c r="B127" s="39">
        <v>8.8000000000000007</v>
      </c>
      <c r="C127" s="40" t="s">
        <v>61</v>
      </c>
      <c r="D127" s="314">
        <v>7</v>
      </c>
      <c r="E127" s="314">
        <v>7</v>
      </c>
      <c r="F127" s="991">
        <v>7</v>
      </c>
      <c r="G127" s="991">
        <v>7</v>
      </c>
      <c r="H127" s="314">
        <v>1</v>
      </c>
      <c r="I127" s="306"/>
      <c r="J127" s="314">
        <f t="shared" si="18"/>
        <v>1</v>
      </c>
      <c r="K127" s="306">
        <f t="shared" si="14"/>
        <v>1</v>
      </c>
      <c r="L127" s="306">
        <f t="shared" si="14"/>
        <v>1</v>
      </c>
      <c r="M127" s="308"/>
      <c r="N127" s="35"/>
      <c r="O127" s="35"/>
    </row>
    <row r="128" spans="1:15">
      <c r="A128" s="39">
        <f t="shared" si="17"/>
        <v>114</v>
      </c>
      <c r="B128" s="39">
        <v>8.9</v>
      </c>
      <c r="C128" s="40" t="s">
        <v>62</v>
      </c>
      <c r="D128" s="314">
        <v>5</v>
      </c>
      <c r="E128" s="314">
        <v>5</v>
      </c>
      <c r="F128" s="991">
        <v>5</v>
      </c>
      <c r="G128" s="991">
        <v>5</v>
      </c>
      <c r="H128" s="314">
        <v>2</v>
      </c>
      <c r="I128" s="306"/>
      <c r="J128" s="314">
        <f t="shared" si="18"/>
        <v>2</v>
      </c>
      <c r="K128" s="306">
        <f t="shared" si="14"/>
        <v>2</v>
      </c>
      <c r="L128" s="306">
        <f t="shared" si="14"/>
        <v>2</v>
      </c>
      <c r="M128" s="308"/>
      <c r="N128" s="35"/>
      <c r="O128" s="35"/>
    </row>
    <row r="129" spans="1:15">
      <c r="A129" s="39">
        <f t="shared" si="17"/>
        <v>115</v>
      </c>
      <c r="B129" s="39">
        <v>8.1</v>
      </c>
      <c r="C129" s="40" t="s">
        <v>63</v>
      </c>
      <c r="D129" s="314"/>
      <c r="E129" s="314"/>
      <c r="F129" s="991"/>
      <c r="G129" s="991"/>
      <c r="H129" s="314"/>
      <c r="I129" s="306"/>
      <c r="J129" s="314"/>
      <c r="K129" s="306">
        <f t="shared" si="14"/>
        <v>0</v>
      </c>
      <c r="L129" s="306">
        <f t="shared" si="14"/>
        <v>0</v>
      </c>
      <c r="M129" s="308"/>
      <c r="N129" s="35"/>
      <c r="O129" s="35"/>
    </row>
    <row r="130" spans="1:15">
      <c r="A130" s="39">
        <f t="shared" si="17"/>
        <v>116</v>
      </c>
      <c r="B130" s="39">
        <v>8.11</v>
      </c>
      <c r="C130" s="40" t="s">
        <v>65</v>
      </c>
      <c r="D130" s="313">
        <v>1671</v>
      </c>
      <c r="E130" s="313">
        <v>1671</v>
      </c>
      <c r="F130" s="992">
        <v>1671</v>
      </c>
      <c r="G130" s="992">
        <v>1671</v>
      </c>
      <c r="H130" s="314">
        <v>70.3</v>
      </c>
      <c r="I130" s="306"/>
      <c r="J130" s="314">
        <f t="shared" si="18"/>
        <v>70.3</v>
      </c>
      <c r="K130" s="306">
        <f t="shared" si="14"/>
        <v>70.3</v>
      </c>
      <c r="L130" s="306">
        <f t="shared" si="14"/>
        <v>70.3</v>
      </c>
      <c r="M130" s="308"/>
      <c r="N130" s="35"/>
      <c r="O130" s="35"/>
    </row>
    <row r="131" spans="1:15">
      <c r="A131" s="39">
        <f t="shared" si="17"/>
        <v>117</v>
      </c>
      <c r="B131" s="39">
        <v>8.1199999999999992</v>
      </c>
      <c r="C131" s="40" t="s">
        <v>66</v>
      </c>
      <c r="D131" s="314"/>
      <c r="E131" s="314"/>
      <c r="F131" s="991"/>
      <c r="G131" s="991"/>
      <c r="H131" s="314"/>
      <c r="I131" s="306"/>
      <c r="J131" s="314"/>
      <c r="K131" s="306">
        <f t="shared" si="14"/>
        <v>0</v>
      </c>
      <c r="L131" s="306">
        <f t="shared" si="14"/>
        <v>0</v>
      </c>
      <c r="M131" s="308"/>
      <c r="N131" s="35"/>
      <c r="O131" s="35"/>
    </row>
    <row r="132" spans="1:15">
      <c r="A132" s="39">
        <f t="shared" si="17"/>
        <v>118</v>
      </c>
      <c r="B132" s="39">
        <v>8.1300000000000008</v>
      </c>
      <c r="C132" s="40" t="s">
        <v>67</v>
      </c>
      <c r="D132" s="314">
        <v>1106</v>
      </c>
      <c r="E132" s="314">
        <v>1106</v>
      </c>
      <c r="F132" s="991">
        <v>1106</v>
      </c>
      <c r="G132" s="991">
        <v>1106</v>
      </c>
      <c r="H132" s="314">
        <v>48.1</v>
      </c>
      <c r="I132" s="306"/>
      <c r="J132" s="314">
        <f t="shared" si="18"/>
        <v>48.1</v>
      </c>
      <c r="K132" s="306">
        <f t="shared" si="14"/>
        <v>48.1</v>
      </c>
      <c r="L132" s="306">
        <f t="shared" si="14"/>
        <v>48.1</v>
      </c>
      <c r="M132" s="308"/>
      <c r="N132" s="35"/>
      <c r="O132" s="35"/>
    </row>
    <row r="133" spans="1:15">
      <c r="A133" s="39">
        <f t="shared" si="17"/>
        <v>119</v>
      </c>
      <c r="B133" s="39">
        <v>8.14</v>
      </c>
      <c r="C133" s="40" t="s">
        <v>62</v>
      </c>
      <c r="D133" s="314">
        <v>565</v>
      </c>
      <c r="E133" s="314">
        <v>565</v>
      </c>
      <c r="F133" s="991">
        <v>565</v>
      </c>
      <c r="G133" s="991">
        <v>565</v>
      </c>
      <c r="H133" s="314">
        <v>22.2</v>
      </c>
      <c r="I133" s="306"/>
      <c r="J133" s="314">
        <f t="shared" si="18"/>
        <v>22.2</v>
      </c>
      <c r="K133" s="306">
        <f t="shared" si="14"/>
        <v>22.2</v>
      </c>
      <c r="L133" s="306">
        <f t="shared" si="14"/>
        <v>22.2</v>
      </c>
      <c r="M133" s="308"/>
      <c r="N133" s="35"/>
      <c r="O133" s="35"/>
    </row>
    <row r="134" spans="1:15">
      <c r="A134" s="39">
        <f t="shared" si="17"/>
        <v>120</v>
      </c>
      <c r="B134" s="39">
        <v>8.15</v>
      </c>
      <c r="C134" s="40" t="s">
        <v>63</v>
      </c>
      <c r="D134" s="314"/>
      <c r="E134" s="314"/>
      <c r="F134" s="991"/>
      <c r="G134" s="991"/>
      <c r="H134" s="314"/>
      <c r="I134" s="306"/>
      <c r="J134" s="314"/>
      <c r="K134" s="306">
        <f t="shared" si="14"/>
        <v>0</v>
      </c>
      <c r="L134" s="306">
        <f t="shared" si="14"/>
        <v>0</v>
      </c>
      <c r="M134" s="308"/>
      <c r="N134" s="35"/>
      <c r="O134" s="35"/>
    </row>
    <row r="135" spans="1:15" ht="24">
      <c r="A135" s="39">
        <f t="shared" si="17"/>
        <v>121</v>
      </c>
      <c r="B135" s="39">
        <v>8.16</v>
      </c>
      <c r="C135" s="40" t="s">
        <v>68</v>
      </c>
      <c r="D135" s="314">
        <v>15.5</v>
      </c>
      <c r="E135" s="314">
        <v>15.5</v>
      </c>
      <c r="F135" s="991">
        <v>15.5</v>
      </c>
      <c r="G135" s="991">
        <v>15.5</v>
      </c>
      <c r="H135" s="314">
        <v>35.5</v>
      </c>
      <c r="I135" s="306"/>
      <c r="J135" s="314">
        <f t="shared" si="18"/>
        <v>35.5</v>
      </c>
      <c r="K135" s="306">
        <f t="shared" si="14"/>
        <v>35.5</v>
      </c>
      <c r="L135" s="306">
        <f t="shared" si="14"/>
        <v>35.5</v>
      </c>
      <c r="M135" s="308"/>
      <c r="N135" s="35"/>
      <c r="O135" s="35"/>
    </row>
    <row r="136" spans="1:15">
      <c r="A136" s="39">
        <f t="shared" si="17"/>
        <v>122</v>
      </c>
      <c r="B136" s="39">
        <v>8.17</v>
      </c>
      <c r="C136" s="40" t="s">
        <v>60</v>
      </c>
      <c r="D136" s="314"/>
      <c r="E136" s="314"/>
      <c r="F136" s="991"/>
      <c r="G136" s="991"/>
      <c r="H136" s="314"/>
      <c r="I136" s="306"/>
      <c r="J136" s="314"/>
      <c r="K136" s="306">
        <f t="shared" si="14"/>
        <v>0</v>
      </c>
      <c r="L136" s="306">
        <f t="shared" si="14"/>
        <v>0</v>
      </c>
      <c r="M136" s="308"/>
      <c r="N136" s="35"/>
      <c r="O136" s="35"/>
    </row>
    <row r="137" spans="1:15">
      <c r="A137" s="39">
        <f t="shared" si="17"/>
        <v>123</v>
      </c>
      <c r="B137" s="39">
        <v>8.18</v>
      </c>
      <c r="C137" s="40" t="s">
        <v>61</v>
      </c>
      <c r="D137" s="314">
        <v>15.5</v>
      </c>
      <c r="E137" s="314">
        <v>15.5</v>
      </c>
      <c r="F137" s="991">
        <v>15.5</v>
      </c>
      <c r="G137" s="991">
        <v>15.5</v>
      </c>
      <c r="H137" s="314">
        <v>35.5</v>
      </c>
      <c r="I137" s="306"/>
      <c r="J137" s="314">
        <f t="shared" si="18"/>
        <v>35.5</v>
      </c>
      <c r="K137" s="306">
        <f t="shared" si="14"/>
        <v>35.5</v>
      </c>
      <c r="L137" s="306">
        <f t="shared" si="14"/>
        <v>35.5</v>
      </c>
      <c r="M137" s="308"/>
      <c r="N137" s="35"/>
      <c r="O137" s="35"/>
    </row>
    <row r="138" spans="1:15">
      <c r="A138" s="39">
        <f t="shared" ref="A138:A174" si="19">A137+1</f>
        <v>124</v>
      </c>
      <c r="B138" s="39">
        <v>8.19</v>
      </c>
      <c r="C138" s="40" t="s">
        <v>62</v>
      </c>
      <c r="D138" s="314"/>
      <c r="E138" s="314"/>
      <c r="F138" s="991"/>
      <c r="G138" s="991"/>
      <c r="H138" s="314">
        <v>35.5</v>
      </c>
      <c r="I138" s="306"/>
      <c r="J138" s="314">
        <v>35.5</v>
      </c>
      <c r="K138" s="306">
        <f t="shared" si="14"/>
        <v>35.5</v>
      </c>
      <c r="L138" s="306">
        <f t="shared" si="14"/>
        <v>35.5</v>
      </c>
      <c r="M138" s="308"/>
      <c r="N138" s="35"/>
      <c r="O138" s="35"/>
    </row>
    <row r="139" spans="1:15">
      <c r="A139" s="39">
        <f t="shared" si="19"/>
        <v>125</v>
      </c>
      <c r="B139" s="39">
        <v>8.1999999999999993</v>
      </c>
      <c r="C139" s="40" t="s">
        <v>63</v>
      </c>
      <c r="D139" s="314"/>
      <c r="E139" s="314"/>
      <c r="F139" s="991"/>
      <c r="G139" s="991"/>
      <c r="H139" s="314"/>
      <c r="I139" s="306"/>
      <c r="J139" s="314"/>
      <c r="K139" s="306">
        <f t="shared" si="14"/>
        <v>0</v>
      </c>
      <c r="L139" s="306">
        <f t="shared" si="14"/>
        <v>0</v>
      </c>
      <c r="M139" s="308"/>
      <c r="N139" s="35"/>
      <c r="O139" s="35"/>
    </row>
    <row r="140" spans="1:15">
      <c r="A140" s="39">
        <f t="shared" si="19"/>
        <v>126</v>
      </c>
      <c r="B140" s="39">
        <v>8.2100000000000009</v>
      </c>
      <c r="C140" s="315" t="s">
        <v>69</v>
      </c>
      <c r="D140" s="314">
        <v>62027.7</v>
      </c>
      <c r="E140" s="314">
        <v>62027.7</v>
      </c>
      <c r="F140" s="991">
        <v>62027.7</v>
      </c>
      <c r="G140" s="991">
        <v>62027.7</v>
      </c>
      <c r="H140" s="314">
        <v>814938</v>
      </c>
      <c r="I140" s="306"/>
      <c r="J140" s="314">
        <f t="shared" si="18"/>
        <v>814938</v>
      </c>
      <c r="K140" s="306">
        <f t="shared" si="14"/>
        <v>814938</v>
      </c>
      <c r="L140" s="306">
        <f t="shared" si="14"/>
        <v>814938</v>
      </c>
      <c r="M140" s="308"/>
      <c r="N140" s="35"/>
      <c r="O140" s="35"/>
    </row>
    <row r="141" spans="1:15">
      <c r="A141" s="39">
        <f t="shared" si="19"/>
        <v>127</v>
      </c>
      <c r="B141" s="39">
        <v>8.2200000000000006</v>
      </c>
      <c r="C141" s="40" t="s">
        <v>66</v>
      </c>
      <c r="D141" s="314"/>
      <c r="E141" s="314"/>
      <c r="F141" s="991"/>
      <c r="G141" s="991"/>
      <c r="H141" s="314"/>
      <c r="I141" s="306"/>
      <c r="J141" s="314"/>
      <c r="K141" s="306">
        <f t="shared" si="14"/>
        <v>0</v>
      </c>
      <c r="L141" s="306">
        <f t="shared" si="14"/>
        <v>0</v>
      </c>
      <c r="M141" s="308"/>
      <c r="N141" s="35"/>
      <c r="O141" s="35"/>
    </row>
    <row r="142" spans="1:15">
      <c r="A142" s="39">
        <f t="shared" si="19"/>
        <v>128</v>
      </c>
      <c r="B142" s="39">
        <v>8.23</v>
      </c>
      <c r="C142" s="40" t="s">
        <v>67</v>
      </c>
      <c r="D142" s="314">
        <v>17143</v>
      </c>
      <c r="E142" s="314">
        <v>17143</v>
      </c>
      <c r="F142" s="991">
        <v>17143</v>
      </c>
      <c r="G142" s="991">
        <v>17143</v>
      </c>
      <c r="H142" s="314">
        <v>27264</v>
      </c>
      <c r="I142" s="306"/>
      <c r="J142" s="314">
        <f t="shared" si="18"/>
        <v>27264</v>
      </c>
      <c r="K142" s="306">
        <f t="shared" si="14"/>
        <v>27264</v>
      </c>
      <c r="L142" s="306">
        <f t="shared" si="14"/>
        <v>27264</v>
      </c>
      <c r="M142" s="308"/>
      <c r="N142" s="35"/>
      <c r="O142" s="35"/>
    </row>
    <row r="143" spans="1:15">
      <c r="A143" s="39">
        <f t="shared" si="19"/>
        <v>129</v>
      </c>
      <c r="B143" s="39">
        <v>8.24</v>
      </c>
      <c r="C143" s="40" t="s">
        <v>70</v>
      </c>
      <c r="D143" s="314">
        <v>8757.5</v>
      </c>
      <c r="E143" s="314">
        <v>8757.5</v>
      </c>
      <c r="F143" s="991">
        <v>8757.5</v>
      </c>
      <c r="G143" s="991">
        <v>8757.5</v>
      </c>
      <c r="H143" s="314">
        <v>787674</v>
      </c>
      <c r="I143" s="306"/>
      <c r="J143" s="314">
        <f t="shared" si="18"/>
        <v>787674</v>
      </c>
      <c r="K143" s="306">
        <f t="shared" si="14"/>
        <v>787674</v>
      </c>
      <c r="L143" s="306">
        <f t="shared" si="14"/>
        <v>787674</v>
      </c>
      <c r="M143" s="308"/>
      <c r="N143" s="35"/>
      <c r="O143" s="35"/>
    </row>
    <row r="144" spans="1:15">
      <c r="A144" s="39">
        <f t="shared" si="19"/>
        <v>130</v>
      </c>
      <c r="B144" s="39">
        <v>8.25</v>
      </c>
      <c r="C144" s="40" t="s">
        <v>63</v>
      </c>
      <c r="D144" s="314"/>
      <c r="E144" s="314"/>
      <c r="F144" s="991"/>
      <c r="G144" s="991"/>
      <c r="H144" s="314"/>
      <c r="I144" s="306"/>
      <c r="J144" s="314"/>
      <c r="K144" s="306">
        <f t="shared" ref="K144:L206" si="20">J144</f>
        <v>0</v>
      </c>
      <c r="L144" s="306">
        <f t="shared" si="20"/>
        <v>0</v>
      </c>
      <c r="M144" s="308"/>
      <c r="N144" s="35"/>
      <c r="O144" s="35"/>
    </row>
    <row r="145" spans="1:15">
      <c r="A145" s="39">
        <f t="shared" si="19"/>
        <v>131</v>
      </c>
      <c r="B145" s="39">
        <v>8.26</v>
      </c>
      <c r="C145" s="40" t="s">
        <v>71</v>
      </c>
      <c r="D145" s="314">
        <v>50</v>
      </c>
      <c r="E145" s="314">
        <v>50</v>
      </c>
      <c r="F145" s="991">
        <v>50</v>
      </c>
      <c r="G145" s="991">
        <v>50</v>
      </c>
      <c r="H145" s="314">
        <v>1757.9</v>
      </c>
      <c r="I145" s="306"/>
      <c r="J145" s="314">
        <f t="shared" si="18"/>
        <v>1757.9</v>
      </c>
      <c r="K145" s="306">
        <f t="shared" si="20"/>
        <v>1757.9</v>
      </c>
      <c r="L145" s="306">
        <f t="shared" si="20"/>
        <v>1757.9</v>
      </c>
      <c r="M145" s="308"/>
      <c r="N145" s="35"/>
      <c r="O145" s="35"/>
    </row>
    <row r="146" spans="1:15">
      <c r="A146" s="39">
        <f t="shared" si="19"/>
        <v>132</v>
      </c>
      <c r="B146" s="39">
        <v>8.27</v>
      </c>
      <c r="C146" s="40" t="s">
        <v>60</v>
      </c>
      <c r="D146" s="314"/>
      <c r="E146" s="314"/>
      <c r="F146" s="991"/>
      <c r="G146" s="991"/>
      <c r="H146" s="314"/>
      <c r="I146" s="306"/>
      <c r="J146" s="314"/>
      <c r="K146" s="306">
        <f t="shared" si="20"/>
        <v>0</v>
      </c>
      <c r="L146" s="306">
        <f t="shared" si="20"/>
        <v>0</v>
      </c>
      <c r="M146" s="308"/>
      <c r="N146" s="35"/>
      <c r="O146" s="35"/>
    </row>
    <row r="147" spans="1:15">
      <c r="A147" s="39">
        <f t="shared" si="19"/>
        <v>133</v>
      </c>
      <c r="B147" s="39">
        <v>8.2799999999999994</v>
      </c>
      <c r="C147" s="40" t="s">
        <v>61</v>
      </c>
      <c r="D147" s="314">
        <v>15</v>
      </c>
      <c r="E147" s="314">
        <v>15</v>
      </c>
      <c r="F147" s="991">
        <v>15</v>
      </c>
      <c r="G147" s="991">
        <v>15</v>
      </c>
      <c r="H147" s="314">
        <v>107586</v>
      </c>
      <c r="I147" s="306"/>
      <c r="J147" s="314">
        <f t="shared" si="18"/>
        <v>107586</v>
      </c>
      <c r="K147" s="306">
        <f t="shared" si="20"/>
        <v>107586</v>
      </c>
      <c r="L147" s="306">
        <f t="shared" si="20"/>
        <v>107586</v>
      </c>
      <c r="M147" s="308"/>
      <c r="N147" s="35"/>
      <c r="O147" s="35"/>
    </row>
    <row r="148" spans="1:15">
      <c r="A148" s="39">
        <f t="shared" si="19"/>
        <v>134</v>
      </c>
      <c r="B148" s="39">
        <v>8.2899999999999991</v>
      </c>
      <c r="C148" s="40" t="s">
        <v>62</v>
      </c>
      <c r="D148" s="314">
        <v>50</v>
      </c>
      <c r="E148" s="314">
        <v>50</v>
      </c>
      <c r="F148" s="991">
        <v>50</v>
      </c>
      <c r="G148" s="991">
        <v>50</v>
      </c>
      <c r="H148" s="314">
        <v>430344</v>
      </c>
      <c r="I148" s="306"/>
      <c r="J148" s="314">
        <f t="shared" si="18"/>
        <v>430344</v>
      </c>
      <c r="K148" s="306">
        <f t="shared" si="20"/>
        <v>430344</v>
      </c>
      <c r="L148" s="306">
        <f t="shared" si="20"/>
        <v>430344</v>
      </c>
      <c r="M148" s="308"/>
      <c r="N148" s="35"/>
      <c r="O148" s="35"/>
    </row>
    <row r="149" spans="1:15">
      <c r="A149" s="39">
        <f t="shared" si="19"/>
        <v>135</v>
      </c>
      <c r="B149" s="39">
        <v>8.3000000000000007</v>
      </c>
      <c r="C149" s="40" t="s">
        <v>63</v>
      </c>
      <c r="D149" s="314">
        <v>50</v>
      </c>
      <c r="E149" s="314">
        <v>50</v>
      </c>
      <c r="F149" s="991">
        <v>50</v>
      </c>
      <c r="G149" s="991">
        <v>50</v>
      </c>
      <c r="H149" s="314">
        <v>0</v>
      </c>
      <c r="I149" s="306"/>
      <c r="J149" s="314">
        <f t="shared" si="18"/>
        <v>0</v>
      </c>
      <c r="K149" s="306">
        <f t="shared" si="20"/>
        <v>0</v>
      </c>
      <c r="L149" s="306">
        <f t="shared" si="20"/>
        <v>0</v>
      </c>
      <c r="M149" s="308"/>
      <c r="N149" s="35"/>
      <c r="O149" s="35"/>
    </row>
    <row r="150" spans="1:15">
      <c r="A150" s="39">
        <f t="shared" si="19"/>
        <v>136</v>
      </c>
      <c r="B150" s="39">
        <v>8.31</v>
      </c>
      <c r="C150" s="315" t="s">
        <v>72</v>
      </c>
      <c r="D150" s="314">
        <v>16540</v>
      </c>
      <c r="E150" s="314">
        <v>16540</v>
      </c>
      <c r="F150" s="991">
        <v>16540</v>
      </c>
      <c r="G150" s="991">
        <v>16540</v>
      </c>
      <c r="H150" s="314">
        <v>537930</v>
      </c>
      <c r="I150" s="306"/>
      <c r="J150" s="314">
        <f t="shared" si="18"/>
        <v>537930</v>
      </c>
      <c r="K150" s="306">
        <f t="shared" si="20"/>
        <v>537930</v>
      </c>
      <c r="L150" s="306">
        <f t="shared" si="20"/>
        <v>537930</v>
      </c>
      <c r="M150" s="308"/>
      <c r="N150" s="35"/>
      <c r="O150" s="35"/>
    </row>
    <row r="151" spans="1:15">
      <c r="A151" s="39">
        <f t="shared" si="19"/>
        <v>137</v>
      </c>
      <c r="B151" s="39">
        <v>8.3199999999999896</v>
      </c>
      <c r="C151" s="40" t="s">
        <v>66</v>
      </c>
      <c r="D151" s="314"/>
      <c r="E151" s="314"/>
      <c r="F151" s="991"/>
      <c r="G151" s="991"/>
      <c r="H151" s="314"/>
      <c r="I151" s="306"/>
      <c r="J151" s="314"/>
      <c r="K151" s="306">
        <f t="shared" si="20"/>
        <v>0</v>
      </c>
      <c r="L151" s="306">
        <f t="shared" si="20"/>
        <v>0</v>
      </c>
      <c r="M151" s="308"/>
      <c r="N151" s="35"/>
      <c r="O151" s="35"/>
    </row>
    <row r="152" spans="1:15">
      <c r="A152" s="39">
        <f t="shared" si="19"/>
        <v>138</v>
      </c>
      <c r="B152" s="39">
        <v>8.3299999999999894</v>
      </c>
      <c r="C152" s="40" t="s">
        <v>67</v>
      </c>
      <c r="D152" s="314"/>
      <c r="E152" s="314"/>
      <c r="F152" s="991"/>
      <c r="G152" s="991"/>
      <c r="H152" s="314"/>
      <c r="I152" s="306"/>
      <c r="J152" s="314"/>
      <c r="K152" s="306">
        <f t="shared" si="20"/>
        <v>0</v>
      </c>
      <c r="L152" s="306">
        <f t="shared" si="20"/>
        <v>0</v>
      </c>
      <c r="M152" s="308"/>
      <c r="N152" s="35"/>
      <c r="O152" s="35"/>
    </row>
    <row r="153" spans="1:15">
      <c r="A153" s="39">
        <f t="shared" si="19"/>
        <v>139</v>
      </c>
      <c r="B153" s="39">
        <v>8.3399999999999892</v>
      </c>
      <c r="C153" s="40" t="s">
        <v>62</v>
      </c>
      <c r="D153" s="314"/>
      <c r="E153" s="314"/>
      <c r="F153" s="991"/>
      <c r="G153" s="991"/>
      <c r="H153" s="314"/>
      <c r="I153" s="306"/>
      <c r="J153" s="314"/>
      <c r="K153" s="306">
        <f t="shared" si="20"/>
        <v>0</v>
      </c>
      <c r="L153" s="306">
        <f t="shared" si="20"/>
        <v>0</v>
      </c>
      <c r="M153" s="308"/>
      <c r="N153" s="35"/>
      <c r="O153" s="35"/>
    </row>
    <row r="154" spans="1:15">
      <c r="A154" s="39">
        <f t="shared" si="19"/>
        <v>140</v>
      </c>
      <c r="B154" s="39">
        <v>8.3499999999999908</v>
      </c>
      <c r="C154" s="40" t="s">
        <v>63</v>
      </c>
      <c r="D154" s="314"/>
      <c r="E154" s="314"/>
      <c r="F154" s="991"/>
      <c r="G154" s="991"/>
      <c r="H154" s="314"/>
      <c r="I154" s="306"/>
      <c r="J154" s="314"/>
      <c r="K154" s="306">
        <f t="shared" si="20"/>
        <v>0</v>
      </c>
      <c r="L154" s="306">
        <f t="shared" si="20"/>
        <v>0</v>
      </c>
      <c r="M154" s="308"/>
      <c r="N154" s="35"/>
      <c r="O154" s="35"/>
    </row>
    <row r="155" spans="1:15">
      <c r="A155" s="39">
        <f t="shared" si="19"/>
        <v>141</v>
      </c>
      <c r="B155" s="39">
        <v>8.3599999999999905</v>
      </c>
      <c r="C155" s="315" t="s">
        <v>73</v>
      </c>
      <c r="D155" s="314">
        <v>45487.7</v>
      </c>
      <c r="E155" s="314">
        <v>45487.7</v>
      </c>
      <c r="F155" s="991">
        <v>45487.7</v>
      </c>
      <c r="G155" s="991">
        <v>45487.7</v>
      </c>
      <c r="H155" s="314">
        <v>45487.7</v>
      </c>
      <c r="I155" s="306">
        <v>15000</v>
      </c>
      <c r="J155" s="314">
        <f t="shared" si="18"/>
        <v>60487.7</v>
      </c>
      <c r="K155" s="306">
        <f t="shared" si="20"/>
        <v>60487.7</v>
      </c>
      <c r="L155" s="306">
        <f t="shared" si="20"/>
        <v>60487.7</v>
      </c>
      <c r="M155" s="308"/>
      <c r="N155" s="35"/>
      <c r="O155" s="35"/>
    </row>
    <row r="156" spans="1:15">
      <c r="A156" s="39">
        <f t="shared" si="19"/>
        <v>142</v>
      </c>
      <c r="B156" s="39">
        <v>8.3699999999999903</v>
      </c>
      <c r="C156" s="40" t="s">
        <v>205</v>
      </c>
      <c r="D156" s="314"/>
      <c r="E156" s="314"/>
      <c r="F156" s="991"/>
      <c r="G156" s="991"/>
      <c r="H156" s="314"/>
      <c r="I156" s="306"/>
      <c r="J156" s="314"/>
      <c r="K156" s="306">
        <f t="shared" si="20"/>
        <v>0</v>
      </c>
      <c r="L156" s="306">
        <f t="shared" si="20"/>
        <v>0</v>
      </c>
      <c r="M156" s="308"/>
      <c r="N156" s="35"/>
      <c r="O156" s="35"/>
    </row>
    <row r="157" spans="1:15">
      <c r="A157" s="39">
        <f t="shared" si="19"/>
        <v>143</v>
      </c>
      <c r="B157" s="39">
        <v>8.3799999999999901</v>
      </c>
      <c r="C157" s="40" t="s">
        <v>60</v>
      </c>
      <c r="D157" s="314"/>
      <c r="E157" s="314"/>
      <c r="F157" s="991"/>
      <c r="G157" s="991"/>
      <c r="H157" s="314"/>
      <c r="I157" s="306"/>
      <c r="J157" s="314"/>
      <c r="K157" s="306">
        <f t="shared" si="20"/>
        <v>0</v>
      </c>
      <c r="L157" s="306">
        <f t="shared" si="20"/>
        <v>0</v>
      </c>
      <c r="M157" s="308"/>
      <c r="N157" s="35"/>
      <c r="O157" s="35"/>
    </row>
    <row r="158" spans="1:15">
      <c r="A158" s="39">
        <f t="shared" si="19"/>
        <v>144</v>
      </c>
      <c r="B158" s="39">
        <v>8.3899999999999899</v>
      </c>
      <c r="C158" s="40" t="s">
        <v>74</v>
      </c>
      <c r="D158" s="314"/>
      <c r="E158" s="314"/>
      <c r="F158" s="991"/>
      <c r="G158" s="991"/>
      <c r="H158" s="314"/>
      <c r="I158" s="306"/>
      <c r="J158" s="314"/>
      <c r="K158" s="306">
        <f t="shared" si="20"/>
        <v>0</v>
      </c>
      <c r="L158" s="306">
        <f t="shared" si="20"/>
        <v>0</v>
      </c>
      <c r="M158" s="308"/>
      <c r="N158" s="35"/>
      <c r="O158" s="35"/>
    </row>
    <row r="159" spans="1:15">
      <c r="A159" s="39">
        <f t="shared" si="19"/>
        <v>145</v>
      </c>
      <c r="B159" s="39">
        <v>8.3999999999999897</v>
      </c>
      <c r="C159" s="40" t="s">
        <v>206</v>
      </c>
      <c r="D159" s="314"/>
      <c r="E159" s="314"/>
      <c r="F159" s="991"/>
      <c r="G159" s="991"/>
      <c r="H159" s="314"/>
      <c r="I159" s="306"/>
      <c r="J159" s="314"/>
      <c r="K159" s="306">
        <f t="shared" si="20"/>
        <v>0</v>
      </c>
      <c r="L159" s="306">
        <f t="shared" si="20"/>
        <v>0</v>
      </c>
      <c r="M159" s="308"/>
      <c r="N159" s="35"/>
      <c r="O159" s="35"/>
    </row>
    <row r="160" spans="1:15">
      <c r="A160" s="39">
        <f t="shared" si="19"/>
        <v>146</v>
      </c>
      <c r="B160" s="39">
        <v>8.4099999999999895</v>
      </c>
      <c r="C160" s="40" t="s">
        <v>60</v>
      </c>
      <c r="D160" s="314"/>
      <c r="E160" s="314"/>
      <c r="F160" s="991"/>
      <c r="G160" s="991"/>
      <c r="H160" s="314"/>
      <c r="I160" s="306"/>
      <c r="J160" s="314"/>
      <c r="K160" s="306">
        <f t="shared" si="20"/>
        <v>0</v>
      </c>
      <c r="L160" s="306">
        <f t="shared" si="20"/>
        <v>0</v>
      </c>
      <c r="M160" s="308"/>
      <c r="N160" s="35"/>
      <c r="O160" s="35"/>
    </row>
    <row r="161" spans="1:15">
      <c r="A161" s="39">
        <f t="shared" si="19"/>
        <v>147</v>
      </c>
      <c r="B161" s="39">
        <v>8.4199999999999893</v>
      </c>
      <c r="C161" s="40" t="s">
        <v>67</v>
      </c>
      <c r="D161" s="314"/>
      <c r="E161" s="314"/>
      <c r="F161" s="991"/>
      <c r="G161" s="991"/>
      <c r="H161" s="314"/>
      <c r="I161" s="306"/>
      <c r="J161" s="314"/>
      <c r="K161" s="306">
        <f t="shared" si="20"/>
        <v>0</v>
      </c>
      <c r="L161" s="306">
        <f t="shared" si="20"/>
        <v>0</v>
      </c>
      <c r="M161" s="308"/>
      <c r="N161" s="35"/>
      <c r="O161" s="35"/>
    </row>
    <row r="162" spans="1:15">
      <c r="A162" s="39">
        <f t="shared" si="19"/>
        <v>148</v>
      </c>
      <c r="B162" s="39">
        <v>8.4299999999999908</v>
      </c>
      <c r="C162" s="40" t="s">
        <v>62</v>
      </c>
      <c r="D162" s="314"/>
      <c r="E162" s="314"/>
      <c r="F162" s="991"/>
      <c r="G162" s="991"/>
      <c r="H162" s="314"/>
      <c r="I162" s="306"/>
      <c r="J162" s="314"/>
      <c r="K162" s="306">
        <f t="shared" si="20"/>
        <v>0</v>
      </c>
      <c r="L162" s="306">
        <f t="shared" si="20"/>
        <v>0</v>
      </c>
      <c r="M162" s="308"/>
      <c r="N162" s="35"/>
      <c r="O162" s="35"/>
    </row>
    <row r="163" spans="1:15">
      <c r="A163" s="39">
        <f t="shared" si="19"/>
        <v>149</v>
      </c>
      <c r="B163" s="39">
        <v>8.4399999999999906</v>
      </c>
      <c r="C163" s="40" t="s">
        <v>63</v>
      </c>
      <c r="D163" s="314"/>
      <c r="E163" s="314"/>
      <c r="F163" s="991"/>
      <c r="G163" s="991"/>
      <c r="H163" s="314"/>
      <c r="I163" s="306"/>
      <c r="J163" s="314"/>
      <c r="K163" s="306">
        <f t="shared" si="20"/>
        <v>0</v>
      </c>
      <c r="L163" s="306">
        <f t="shared" si="20"/>
        <v>0</v>
      </c>
      <c r="M163" s="308"/>
      <c r="N163" s="35"/>
      <c r="O163" s="35"/>
    </row>
    <row r="164" spans="1:15">
      <c r="A164" s="39">
        <f t="shared" si="19"/>
        <v>150</v>
      </c>
      <c r="B164" s="39">
        <v>8.4499999999999904</v>
      </c>
      <c r="C164" s="40" t="s">
        <v>207</v>
      </c>
      <c r="D164" s="314">
        <v>45487.7</v>
      </c>
      <c r="E164" s="314">
        <v>45487.7</v>
      </c>
      <c r="F164" s="991">
        <v>45487.7</v>
      </c>
      <c r="G164" s="991">
        <v>45487.7</v>
      </c>
      <c r="H164" s="314">
        <v>45487.7</v>
      </c>
      <c r="I164" s="306"/>
      <c r="J164" s="314">
        <f t="shared" si="18"/>
        <v>45487.7</v>
      </c>
      <c r="K164" s="306">
        <f t="shared" si="20"/>
        <v>45487.7</v>
      </c>
      <c r="L164" s="306">
        <f t="shared" si="20"/>
        <v>45487.7</v>
      </c>
      <c r="M164" s="308"/>
      <c r="N164" s="35"/>
      <c r="O164" s="35"/>
    </row>
    <row r="165" spans="1:15">
      <c r="A165" s="39">
        <f t="shared" si="19"/>
        <v>151</v>
      </c>
      <c r="B165" s="39">
        <v>8.4599999999999902</v>
      </c>
      <c r="C165" s="40" t="s">
        <v>66</v>
      </c>
      <c r="D165" s="314"/>
      <c r="E165" s="314"/>
      <c r="F165" s="991"/>
      <c r="G165" s="991"/>
      <c r="H165" s="314"/>
      <c r="I165" s="306"/>
      <c r="J165" s="314"/>
      <c r="K165" s="306">
        <f t="shared" si="20"/>
        <v>0</v>
      </c>
      <c r="L165" s="306">
        <f t="shared" si="20"/>
        <v>0</v>
      </c>
      <c r="M165" s="308"/>
      <c r="N165" s="35"/>
      <c r="O165" s="35"/>
    </row>
    <row r="166" spans="1:15">
      <c r="A166" s="39">
        <f t="shared" si="19"/>
        <v>152</v>
      </c>
      <c r="B166" s="39">
        <v>8.46999999999999</v>
      </c>
      <c r="C166" s="40" t="s">
        <v>67</v>
      </c>
      <c r="D166" s="314">
        <v>45487.7</v>
      </c>
      <c r="E166" s="314">
        <v>45487.7</v>
      </c>
      <c r="F166" s="991">
        <v>45487.7</v>
      </c>
      <c r="G166" s="991">
        <v>45487.7</v>
      </c>
      <c r="H166" s="314">
        <v>45487.7</v>
      </c>
      <c r="I166" s="306"/>
      <c r="J166" s="314">
        <f t="shared" si="18"/>
        <v>45487.7</v>
      </c>
      <c r="K166" s="306">
        <f t="shared" si="20"/>
        <v>45487.7</v>
      </c>
      <c r="L166" s="306">
        <f t="shared" si="20"/>
        <v>45487.7</v>
      </c>
      <c r="M166" s="308"/>
      <c r="N166" s="35"/>
      <c r="O166" s="35"/>
    </row>
    <row r="167" spans="1:15">
      <c r="A167" s="39">
        <f t="shared" si="19"/>
        <v>153</v>
      </c>
      <c r="B167" s="39">
        <v>8.4799999999999898</v>
      </c>
      <c r="C167" s="40" t="s">
        <v>62</v>
      </c>
      <c r="D167" s="314"/>
      <c r="E167" s="314"/>
      <c r="F167" s="314"/>
      <c r="G167" s="314"/>
      <c r="H167" s="314"/>
      <c r="I167" s="306"/>
      <c r="J167" s="314"/>
      <c r="K167" s="306">
        <f t="shared" si="20"/>
        <v>0</v>
      </c>
      <c r="L167" s="306">
        <f t="shared" si="20"/>
        <v>0</v>
      </c>
      <c r="M167" s="308"/>
      <c r="N167" s="35"/>
      <c r="O167" s="35"/>
    </row>
    <row r="168" spans="1:15">
      <c r="A168" s="39">
        <f t="shared" si="19"/>
        <v>154</v>
      </c>
      <c r="B168" s="39">
        <v>8.4899999999999896</v>
      </c>
      <c r="C168" s="40" t="s">
        <v>63</v>
      </c>
      <c r="D168" s="314"/>
      <c r="E168" s="314"/>
      <c r="F168" s="314"/>
      <c r="G168" s="314"/>
      <c r="H168" s="314"/>
      <c r="I168" s="306"/>
      <c r="J168" s="314"/>
      <c r="K168" s="306">
        <f t="shared" si="20"/>
        <v>0</v>
      </c>
      <c r="L168" s="306">
        <f t="shared" si="20"/>
        <v>0</v>
      </c>
      <c r="M168" s="308"/>
      <c r="N168" s="35"/>
      <c r="O168" s="35"/>
    </row>
    <row r="169" spans="1:15" ht="24">
      <c r="A169" s="39">
        <f t="shared" si="19"/>
        <v>155</v>
      </c>
      <c r="B169" s="325">
        <v>8.5</v>
      </c>
      <c r="C169" s="315" t="s">
        <v>75</v>
      </c>
      <c r="D169" s="314"/>
      <c r="E169" s="314"/>
      <c r="F169" s="314"/>
      <c r="G169" s="314"/>
      <c r="H169" s="314"/>
      <c r="I169" s="306"/>
      <c r="J169" s="314"/>
      <c r="K169" s="306">
        <f t="shared" si="20"/>
        <v>0</v>
      </c>
      <c r="L169" s="306">
        <f t="shared" si="20"/>
        <v>0</v>
      </c>
      <c r="M169" s="308"/>
      <c r="N169" s="35"/>
      <c r="O169" s="35"/>
    </row>
    <row r="170" spans="1:15" ht="24">
      <c r="A170" s="39">
        <f t="shared" si="19"/>
        <v>156</v>
      </c>
      <c r="B170" s="39">
        <v>8.5099999999999891</v>
      </c>
      <c r="C170" s="315" t="s">
        <v>76</v>
      </c>
      <c r="D170" s="314"/>
      <c r="E170" s="314"/>
      <c r="F170" s="314"/>
      <c r="G170" s="314"/>
      <c r="H170" s="314"/>
      <c r="I170" s="306"/>
      <c r="J170" s="314"/>
      <c r="K170" s="306">
        <f t="shared" si="20"/>
        <v>0</v>
      </c>
      <c r="L170" s="306">
        <f t="shared" si="20"/>
        <v>0</v>
      </c>
      <c r="M170" s="308"/>
      <c r="N170" s="35"/>
      <c r="O170" s="35"/>
    </row>
    <row r="171" spans="1:15">
      <c r="A171" s="39">
        <f t="shared" si="19"/>
        <v>157</v>
      </c>
      <c r="B171" s="1216" t="s">
        <v>77</v>
      </c>
      <c r="C171" s="1217"/>
      <c r="D171" s="320">
        <v>58021.2</v>
      </c>
      <c r="E171" s="320">
        <v>57511.4</v>
      </c>
      <c r="F171" s="320">
        <v>273021.2</v>
      </c>
      <c r="G171" s="320">
        <v>273021.2</v>
      </c>
      <c r="H171" s="320">
        <f>829358.7+66521.3+4800+8400+5167.7+18303</f>
        <v>932550.7</v>
      </c>
      <c r="I171" s="320">
        <v>15000</v>
      </c>
      <c r="J171" s="320">
        <f>H171+I171</f>
        <v>947550.7</v>
      </c>
      <c r="K171" s="320">
        <f t="shared" ref="K171:L171" si="21">I171+J171</f>
        <v>962550.7</v>
      </c>
      <c r="L171" s="320">
        <f t="shared" si="21"/>
        <v>1910101.4</v>
      </c>
      <c r="M171" s="308"/>
      <c r="N171" s="284">
        <v>5364</v>
      </c>
      <c r="O171" s="35"/>
    </row>
    <row r="172" spans="1:15">
      <c r="A172" s="301">
        <f t="shared" si="19"/>
        <v>158</v>
      </c>
      <c r="B172" s="301">
        <v>9</v>
      </c>
      <c r="C172" s="302" t="s">
        <v>208</v>
      </c>
      <c r="D172" s="311"/>
      <c r="E172" s="311"/>
      <c r="F172" s="311"/>
      <c r="G172" s="311"/>
      <c r="H172" s="311"/>
      <c r="I172" s="311"/>
      <c r="J172" s="311"/>
      <c r="K172" s="311"/>
      <c r="L172" s="311"/>
      <c r="M172" s="312"/>
      <c r="N172" s="35"/>
      <c r="O172" s="35"/>
    </row>
    <row r="173" spans="1:15">
      <c r="A173" s="39">
        <f t="shared" si="19"/>
        <v>159</v>
      </c>
      <c r="B173" s="39">
        <v>9.1</v>
      </c>
      <c r="C173" s="40" t="s">
        <v>78</v>
      </c>
      <c r="D173" s="314"/>
      <c r="E173" s="314"/>
      <c r="F173" s="314"/>
      <c r="G173" s="314"/>
      <c r="H173" s="314"/>
      <c r="I173" s="306"/>
      <c r="J173" s="314"/>
      <c r="K173" s="306"/>
      <c r="L173" s="306"/>
      <c r="M173" s="308"/>
      <c r="N173" s="35"/>
      <c r="O173" s="35"/>
    </row>
    <row r="174" spans="1:15">
      <c r="A174" s="39">
        <f t="shared" si="19"/>
        <v>160</v>
      </c>
      <c r="B174" s="39">
        <v>9.1999999999999993</v>
      </c>
      <c r="C174" s="40" t="s">
        <v>79</v>
      </c>
      <c r="D174" s="314"/>
      <c r="E174" s="314"/>
      <c r="F174" s="314"/>
      <c r="G174" s="314"/>
      <c r="H174" s="314"/>
      <c r="I174" s="306"/>
      <c r="J174" s="314"/>
      <c r="K174" s="306"/>
      <c r="L174" s="306"/>
      <c r="M174" s="308"/>
      <c r="N174" s="35"/>
      <c r="O174" s="35"/>
    </row>
    <row r="175" spans="1:15">
      <c r="A175" s="39">
        <f>+A174+1</f>
        <v>161</v>
      </c>
      <c r="B175" s="1216" t="s">
        <v>80</v>
      </c>
      <c r="C175" s="1217"/>
      <c r="D175" s="321"/>
      <c r="E175" s="321"/>
      <c r="F175" s="321"/>
      <c r="G175" s="321"/>
      <c r="H175" s="321"/>
      <c r="I175" s="321"/>
      <c r="J175" s="321"/>
      <c r="K175" s="306"/>
      <c r="L175" s="306"/>
      <c r="M175" s="308"/>
      <c r="N175" s="35"/>
      <c r="O175" s="35"/>
    </row>
    <row r="176" spans="1:15">
      <c r="A176" s="301">
        <f>A175+1</f>
        <v>162</v>
      </c>
      <c r="B176" s="301">
        <v>10</v>
      </c>
      <c r="C176" s="302" t="s">
        <v>209</v>
      </c>
      <c r="D176" s="311"/>
      <c r="E176" s="311"/>
      <c r="F176" s="311"/>
      <c r="G176" s="311"/>
      <c r="H176" s="311"/>
      <c r="I176" s="311"/>
      <c r="J176" s="311"/>
      <c r="K176" s="311"/>
      <c r="L176" s="311"/>
      <c r="M176" s="312"/>
      <c r="N176" s="35"/>
      <c r="O176" s="35"/>
    </row>
    <row r="177" spans="1:15">
      <c r="A177" s="39">
        <f>A176+1</f>
        <v>163</v>
      </c>
      <c r="B177" s="39">
        <v>10.1</v>
      </c>
      <c r="C177" s="40" t="s">
        <v>230</v>
      </c>
      <c r="D177" s="306">
        <v>47250</v>
      </c>
      <c r="E177" s="306">
        <v>47154.3</v>
      </c>
      <c r="F177" s="306">
        <v>24750</v>
      </c>
      <c r="G177" s="306">
        <v>24750</v>
      </c>
      <c r="H177" s="306">
        <f>19200+2500+11000+9600+4000+6000+12000+90000</f>
        <v>154300</v>
      </c>
      <c r="I177" s="306"/>
      <c r="J177" s="306">
        <f>H177</f>
        <v>154300</v>
      </c>
      <c r="K177" s="306">
        <f t="shared" si="20"/>
        <v>154300</v>
      </c>
      <c r="L177" s="306">
        <f t="shared" si="20"/>
        <v>154300</v>
      </c>
      <c r="M177" s="308"/>
      <c r="N177" s="35"/>
      <c r="O177" s="35"/>
    </row>
    <row r="178" spans="1:15">
      <c r="A178" s="39">
        <f>A177+1</f>
        <v>164</v>
      </c>
      <c r="B178" s="39">
        <v>10.199999999999999</v>
      </c>
      <c r="C178" s="40" t="s">
        <v>118</v>
      </c>
      <c r="D178" s="306">
        <v>39000</v>
      </c>
      <c r="E178" s="306">
        <v>38954.199999999997</v>
      </c>
      <c r="F178" s="306"/>
      <c r="G178" s="306"/>
      <c r="H178" s="306">
        <f>103200+120000</f>
        <v>223200</v>
      </c>
      <c r="I178" s="306"/>
      <c r="J178" s="306">
        <f t="shared" ref="J178:J180" si="22">H178</f>
        <v>223200</v>
      </c>
      <c r="K178" s="306">
        <f t="shared" si="20"/>
        <v>223200</v>
      </c>
      <c r="L178" s="306">
        <f t="shared" si="20"/>
        <v>223200</v>
      </c>
      <c r="M178" s="308"/>
      <c r="N178" s="35"/>
      <c r="O178" s="35"/>
    </row>
    <row r="179" spans="1:15">
      <c r="A179" s="39">
        <v>199</v>
      </c>
      <c r="B179" s="39">
        <v>10.3</v>
      </c>
      <c r="C179" s="40" t="s">
        <v>210</v>
      </c>
      <c r="D179" s="306">
        <v>3000</v>
      </c>
      <c r="E179" s="306">
        <v>1900</v>
      </c>
      <c r="F179" s="306">
        <v>0</v>
      </c>
      <c r="G179" s="306">
        <v>0</v>
      </c>
      <c r="H179" s="306">
        <v>35800</v>
      </c>
      <c r="I179" s="306"/>
      <c r="J179" s="306">
        <f t="shared" si="22"/>
        <v>35800</v>
      </c>
      <c r="K179" s="306">
        <f t="shared" si="20"/>
        <v>35800</v>
      </c>
      <c r="L179" s="306">
        <f t="shared" si="20"/>
        <v>35800</v>
      </c>
      <c r="M179" s="308"/>
      <c r="N179" s="35"/>
      <c r="O179" s="35"/>
    </row>
    <row r="180" spans="1:15">
      <c r="A180" s="39">
        <f>+A179+1</f>
        <v>200</v>
      </c>
      <c r="B180" s="39">
        <v>10.4</v>
      </c>
      <c r="C180" s="40" t="s">
        <v>119</v>
      </c>
      <c r="D180" s="306">
        <v>19742.2</v>
      </c>
      <c r="E180" s="306">
        <v>18812.099999999999</v>
      </c>
      <c r="F180" s="306">
        <v>13742.2</v>
      </c>
      <c r="G180" s="306">
        <v>13742.2</v>
      </c>
      <c r="H180" s="306">
        <v>19742.2</v>
      </c>
      <c r="I180" s="306"/>
      <c r="J180" s="306">
        <f t="shared" si="22"/>
        <v>19742.2</v>
      </c>
      <c r="K180" s="306">
        <f t="shared" si="20"/>
        <v>19742.2</v>
      </c>
      <c r="L180" s="306">
        <f t="shared" si="20"/>
        <v>19742.2</v>
      </c>
      <c r="M180" s="308"/>
      <c r="N180" s="35"/>
      <c r="O180" s="35"/>
    </row>
    <row r="181" spans="1:15">
      <c r="A181" s="39">
        <f>+A180+1</f>
        <v>201</v>
      </c>
      <c r="B181" s="1216" t="s">
        <v>81</v>
      </c>
      <c r="C181" s="1217"/>
      <c r="D181" s="310">
        <f>D177+D178+D179+D180</f>
        <v>108992.2</v>
      </c>
      <c r="E181" s="310">
        <f>E177+E178+E179+E180</f>
        <v>106820.6</v>
      </c>
      <c r="F181" s="310">
        <f t="shared" ref="F181:L181" si="23">F177+F178+F179+F180</f>
        <v>38492.199999999997</v>
      </c>
      <c r="G181" s="310">
        <f t="shared" si="23"/>
        <v>38492.199999999997</v>
      </c>
      <c r="H181" s="310">
        <f t="shared" si="23"/>
        <v>433042.2</v>
      </c>
      <c r="I181" s="310">
        <f t="shared" si="23"/>
        <v>0</v>
      </c>
      <c r="J181" s="310">
        <f t="shared" si="23"/>
        <v>433042.2</v>
      </c>
      <c r="K181" s="310">
        <f t="shared" si="23"/>
        <v>433042.2</v>
      </c>
      <c r="L181" s="310">
        <f t="shared" si="23"/>
        <v>433042.2</v>
      </c>
      <c r="M181" s="338"/>
      <c r="N181" s="35"/>
      <c r="O181" s="35"/>
    </row>
    <row r="182" spans="1:15">
      <c r="A182" s="301">
        <f t="shared" ref="A182:A195" si="24">A181+1</f>
        <v>202</v>
      </c>
      <c r="B182" s="301">
        <v>11</v>
      </c>
      <c r="C182" s="302" t="s">
        <v>211</v>
      </c>
      <c r="D182" s="311"/>
      <c r="E182" s="311"/>
      <c r="F182" s="311"/>
      <c r="G182" s="311"/>
      <c r="H182" s="311"/>
      <c r="I182" s="311"/>
      <c r="J182" s="311"/>
      <c r="K182" s="311"/>
      <c r="L182" s="311"/>
      <c r="M182" s="312"/>
      <c r="N182" s="35"/>
      <c r="O182" s="35"/>
    </row>
    <row r="183" spans="1:15" ht="24">
      <c r="A183" s="39">
        <f t="shared" si="24"/>
        <v>203</v>
      </c>
      <c r="B183" s="39">
        <v>11.1</v>
      </c>
      <c r="C183" s="40" t="s">
        <v>82</v>
      </c>
      <c r="D183" s="322"/>
      <c r="E183" s="322"/>
      <c r="F183" s="322">
        <v>485.1</v>
      </c>
      <c r="G183" s="322">
        <v>485.1</v>
      </c>
      <c r="H183" s="322"/>
      <c r="I183" s="322"/>
      <c r="J183" s="322"/>
      <c r="K183" s="306"/>
      <c r="L183" s="306"/>
      <c r="M183" s="308"/>
      <c r="N183" s="35"/>
      <c r="O183" s="35"/>
    </row>
    <row r="184" spans="1:15" ht="24">
      <c r="A184" s="39">
        <f t="shared" si="24"/>
        <v>204</v>
      </c>
      <c r="B184" s="39">
        <v>11.2</v>
      </c>
      <c r="C184" s="40" t="s">
        <v>83</v>
      </c>
      <c r="D184" s="322">
        <v>39485.1</v>
      </c>
      <c r="E184" s="322">
        <v>37549.599999999999</v>
      </c>
      <c r="F184" s="322"/>
      <c r="G184" s="322"/>
      <c r="H184" s="322"/>
      <c r="I184" s="322"/>
      <c r="J184" s="322"/>
      <c r="K184" s="306">
        <f t="shared" si="20"/>
        <v>0</v>
      </c>
      <c r="L184" s="306">
        <f t="shared" si="20"/>
        <v>0</v>
      </c>
      <c r="M184" s="308"/>
      <c r="N184" s="35"/>
      <c r="O184" s="35"/>
    </row>
    <row r="185" spans="1:15">
      <c r="A185" s="39">
        <f t="shared" si="24"/>
        <v>205</v>
      </c>
      <c r="B185" s="39">
        <v>11.3</v>
      </c>
      <c r="C185" s="40" t="s">
        <v>84</v>
      </c>
      <c r="D185" s="322"/>
      <c r="E185" s="322"/>
      <c r="F185" s="322"/>
      <c r="G185" s="322"/>
      <c r="H185" s="322"/>
      <c r="I185" s="322"/>
      <c r="J185" s="322"/>
      <c r="K185" s="306">
        <f t="shared" si="20"/>
        <v>0</v>
      </c>
      <c r="L185" s="306">
        <f t="shared" si="20"/>
        <v>0</v>
      </c>
      <c r="M185" s="308"/>
      <c r="N185" s="35"/>
      <c r="O185" s="35"/>
    </row>
    <row r="186" spans="1:15">
      <c r="A186" s="39">
        <f t="shared" si="24"/>
        <v>206</v>
      </c>
      <c r="B186" s="1216" t="s">
        <v>85</v>
      </c>
      <c r="C186" s="1217"/>
      <c r="D186" s="320">
        <f>D184</f>
        <v>39485.1</v>
      </c>
      <c r="E186" s="320">
        <f>E184</f>
        <v>37549.599999999999</v>
      </c>
      <c r="F186" s="320">
        <v>485.1</v>
      </c>
      <c r="G186" s="320">
        <v>485.1</v>
      </c>
      <c r="H186" s="320">
        <v>4500</v>
      </c>
      <c r="I186" s="322"/>
      <c r="J186" s="320">
        <v>4500</v>
      </c>
      <c r="K186" s="320">
        <v>4500</v>
      </c>
      <c r="L186" s="320">
        <v>4500</v>
      </c>
      <c r="M186" s="308"/>
      <c r="N186" s="35"/>
      <c r="O186" s="35"/>
    </row>
    <row r="187" spans="1:15">
      <c r="A187" s="301">
        <f t="shared" si="24"/>
        <v>207</v>
      </c>
      <c r="B187" s="301">
        <v>12</v>
      </c>
      <c r="C187" s="302" t="s">
        <v>212</v>
      </c>
      <c r="D187" s="311"/>
      <c r="E187" s="311"/>
      <c r="F187" s="311"/>
      <c r="G187" s="311"/>
      <c r="H187" s="311"/>
      <c r="I187" s="311"/>
      <c r="J187" s="311"/>
      <c r="K187" s="311"/>
      <c r="L187" s="311"/>
      <c r="M187" s="312"/>
      <c r="N187" s="35"/>
      <c r="O187" s="35"/>
    </row>
    <row r="188" spans="1:15">
      <c r="A188" s="39">
        <f t="shared" si="24"/>
        <v>208</v>
      </c>
      <c r="B188" s="39">
        <v>12.1</v>
      </c>
      <c r="C188" s="40" t="s">
        <v>86</v>
      </c>
      <c r="D188" s="306"/>
      <c r="E188" s="306"/>
      <c r="F188" s="306"/>
      <c r="G188" s="306"/>
      <c r="H188" s="306"/>
      <c r="I188" s="306"/>
      <c r="J188" s="306"/>
      <c r="K188" s="306">
        <f t="shared" si="20"/>
        <v>0</v>
      </c>
      <c r="L188" s="306">
        <f t="shared" si="20"/>
        <v>0</v>
      </c>
      <c r="M188" s="308"/>
      <c r="N188" s="35"/>
      <c r="O188" s="35"/>
    </row>
    <row r="189" spans="1:15">
      <c r="A189" s="39">
        <f t="shared" si="24"/>
        <v>209</v>
      </c>
      <c r="B189" s="39">
        <v>12.2</v>
      </c>
      <c r="C189" s="40" t="s">
        <v>87</v>
      </c>
      <c r="D189" s="306"/>
      <c r="E189" s="306"/>
      <c r="F189" s="306"/>
      <c r="G189" s="306"/>
      <c r="H189" s="306"/>
      <c r="I189" s="306"/>
      <c r="J189" s="306"/>
      <c r="K189" s="306">
        <f t="shared" si="20"/>
        <v>0</v>
      </c>
      <c r="L189" s="306">
        <f t="shared" si="20"/>
        <v>0</v>
      </c>
      <c r="M189" s="308"/>
      <c r="N189" s="35"/>
      <c r="O189" s="35"/>
    </row>
    <row r="190" spans="1:15">
      <c r="A190" s="39">
        <f t="shared" si="24"/>
        <v>210</v>
      </c>
      <c r="B190" s="39">
        <v>12.3</v>
      </c>
      <c r="C190" s="40" t="s">
        <v>88</v>
      </c>
      <c r="D190" s="306"/>
      <c r="E190" s="306"/>
      <c r="F190" s="306"/>
      <c r="G190" s="306"/>
      <c r="H190" s="306"/>
      <c r="I190" s="306"/>
      <c r="J190" s="306"/>
      <c r="K190" s="306">
        <f t="shared" si="20"/>
        <v>0</v>
      </c>
      <c r="L190" s="306">
        <f t="shared" si="20"/>
        <v>0</v>
      </c>
      <c r="M190" s="308"/>
      <c r="N190" s="35"/>
      <c r="O190" s="35"/>
    </row>
    <row r="191" spans="1:15">
      <c r="A191" s="39">
        <f t="shared" si="24"/>
        <v>211</v>
      </c>
      <c r="B191" s="39">
        <v>12.4</v>
      </c>
      <c r="C191" s="40" t="s">
        <v>89</v>
      </c>
      <c r="D191" s="306"/>
      <c r="E191" s="306"/>
      <c r="F191" s="306"/>
      <c r="G191" s="306"/>
      <c r="H191" s="306"/>
      <c r="I191" s="306"/>
      <c r="J191" s="306"/>
      <c r="K191" s="306">
        <f t="shared" si="20"/>
        <v>0</v>
      </c>
      <c r="L191" s="306">
        <f t="shared" si="20"/>
        <v>0</v>
      </c>
      <c r="M191" s="308"/>
      <c r="N191" s="35"/>
      <c r="O191" s="35"/>
    </row>
    <row r="192" spans="1:15">
      <c r="A192" s="39">
        <f t="shared" si="24"/>
        <v>212</v>
      </c>
      <c r="B192" s="39">
        <v>12.5</v>
      </c>
      <c r="C192" s="315" t="s">
        <v>90</v>
      </c>
      <c r="D192" s="306"/>
      <c r="E192" s="306"/>
      <c r="F192" s="306"/>
      <c r="G192" s="306"/>
      <c r="H192" s="306"/>
      <c r="I192" s="306"/>
      <c r="J192" s="306"/>
      <c r="K192" s="306">
        <f t="shared" si="20"/>
        <v>0</v>
      </c>
      <c r="L192" s="306">
        <f t="shared" si="20"/>
        <v>0</v>
      </c>
      <c r="M192" s="308"/>
      <c r="N192" s="35"/>
      <c r="O192" s="35"/>
    </row>
    <row r="193" spans="1:15">
      <c r="A193" s="39">
        <f t="shared" si="24"/>
        <v>213</v>
      </c>
      <c r="B193" s="39">
        <v>12.6</v>
      </c>
      <c r="C193" s="339" t="s">
        <v>213</v>
      </c>
      <c r="D193" s="306"/>
      <c r="E193" s="306"/>
      <c r="F193" s="306"/>
      <c r="G193" s="306"/>
      <c r="H193" s="306"/>
      <c r="I193" s="306"/>
      <c r="J193" s="306"/>
      <c r="K193" s="306">
        <f t="shared" si="20"/>
        <v>0</v>
      </c>
      <c r="L193" s="306">
        <f t="shared" si="20"/>
        <v>0</v>
      </c>
      <c r="M193" s="308"/>
      <c r="N193" s="35"/>
      <c r="O193" s="35"/>
    </row>
    <row r="194" spans="1:15">
      <c r="A194" s="39">
        <f t="shared" si="24"/>
        <v>214</v>
      </c>
      <c r="B194" s="1218" t="s">
        <v>91</v>
      </c>
      <c r="C194" s="1219"/>
      <c r="D194" s="340"/>
      <c r="E194" s="340"/>
      <c r="F194" s="340"/>
      <c r="G194" s="340"/>
      <c r="H194" s="340"/>
      <c r="I194" s="340"/>
      <c r="J194" s="340"/>
      <c r="K194" s="306">
        <f t="shared" si="20"/>
        <v>0</v>
      </c>
      <c r="L194" s="306">
        <f t="shared" si="20"/>
        <v>0</v>
      </c>
      <c r="M194" s="329"/>
      <c r="N194" s="35"/>
      <c r="O194" s="35"/>
    </row>
    <row r="195" spans="1:15" ht="36">
      <c r="A195" s="301">
        <f t="shared" si="24"/>
        <v>215</v>
      </c>
      <c r="B195" s="301">
        <v>13</v>
      </c>
      <c r="C195" s="302" t="s">
        <v>944</v>
      </c>
      <c r="D195" s="311"/>
      <c r="E195" s="311"/>
      <c r="F195" s="311"/>
      <c r="G195" s="311"/>
      <c r="H195" s="311"/>
      <c r="I195" s="311"/>
      <c r="J195" s="311"/>
      <c r="K195" s="311"/>
      <c r="L195" s="311"/>
      <c r="M195" s="312"/>
      <c r="N195" s="35"/>
      <c r="O195" s="35"/>
    </row>
    <row r="196" spans="1:15" s="7" customFormat="1">
      <c r="A196" s="341">
        <f>+A195+1</f>
        <v>216</v>
      </c>
      <c r="B196" s="341">
        <v>13.1</v>
      </c>
      <c r="C196" s="327" t="s">
        <v>170</v>
      </c>
      <c r="D196" s="340"/>
      <c r="E196" s="340"/>
      <c r="F196" s="340"/>
      <c r="G196" s="340"/>
      <c r="H196" s="340"/>
      <c r="I196" s="340"/>
      <c r="J196" s="340"/>
      <c r="K196" s="306">
        <f t="shared" si="20"/>
        <v>0</v>
      </c>
      <c r="L196" s="306">
        <f t="shared" si="20"/>
        <v>0</v>
      </c>
      <c r="M196" s="329"/>
      <c r="N196" s="330"/>
      <c r="O196" s="330"/>
    </row>
    <row r="197" spans="1:15" s="7" customFormat="1" ht="24">
      <c r="A197" s="341">
        <f>A196+1</f>
        <v>217</v>
      </c>
      <c r="B197" s="341">
        <v>13.2</v>
      </c>
      <c r="C197" s="327" t="s">
        <v>167</v>
      </c>
      <c r="D197" s="340"/>
      <c r="E197" s="340"/>
      <c r="F197" s="340"/>
      <c r="G197" s="340"/>
      <c r="H197" s="340"/>
      <c r="I197" s="340"/>
      <c r="J197" s="340"/>
      <c r="K197" s="306">
        <f t="shared" si="20"/>
        <v>0</v>
      </c>
      <c r="L197" s="306">
        <f t="shared" si="20"/>
        <v>0</v>
      </c>
      <c r="M197" s="329"/>
      <c r="N197" s="330"/>
      <c r="O197" s="330"/>
    </row>
    <row r="198" spans="1:15" s="7" customFormat="1">
      <c r="A198" s="341">
        <f>A197+1</f>
        <v>218</v>
      </c>
      <c r="B198" s="341">
        <v>13.3</v>
      </c>
      <c r="C198" s="327" t="s">
        <v>168</v>
      </c>
      <c r="D198" s="340"/>
      <c r="E198" s="340"/>
      <c r="F198" s="340"/>
      <c r="G198" s="340"/>
      <c r="H198" s="340"/>
      <c r="I198" s="340"/>
      <c r="J198" s="340"/>
      <c r="K198" s="306">
        <f t="shared" si="20"/>
        <v>0</v>
      </c>
      <c r="L198" s="306">
        <f t="shared" si="20"/>
        <v>0</v>
      </c>
      <c r="M198" s="329"/>
      <c r="N198" s="330"/>
      <c r="O198" s="330"/>
    </row>
    <row r="199" spans="1:15" s="7" customFormat="1" ht="24">
      <c r="A199" s="341">
        <f>A198+1</f>
        <v>219</v>
      </c>
      <c r="B199" s="341">
        <v>13.4</v>
      </c>
      <c r="C199" s="327" t="s">
        <v>169</v>
      </c>
      <c r="D199" s="340"/>
      <c r="E199" s="340"/>
      <c r="F199" s="340"/>
      <c r="G199" s="340"/>
      <c r="H199" s="340"/>
      <c r="I199" s="340"/>
      <c r="J199" s="340"/>
      <c r="K199" s="306">
        <f t="shared" si="20"/>
        <v>0</v>
      </c>
      <c r="L199" s="306">
        <f t="shared" si="20"/>
        <v>0</v>
      </c>
      <c r="M199" s="329"/>
      <c r="N199" s="330"/>
      <c r="O199" s="330"/>
    </row>
    <row r="200" spans="1:15" s="7" customFormat="1" ht="24">
      <c r="A200" s="341">
        <f>+A199+1</f>
        <v>220</v>
      </c>
      <c r="B200" s="341">
        <v>13.6</v>
      </c>
      <c r="C200" s="327" t="s">
        <v>214</v>
      </c>
      <c r="D200" s="340"/>
      <c r="E200" s="340"/>
      <c r="F200" s="340"/>
      <c r="G200" s="340"/>
      <c r="H200" s="340"/>
      <c r="I200" s="340"/>
      <c r="J200" s="340"/>
      <c r="K200" s="306">
        <f t="shared" si="20"/>
        <v>0</v>
      </c>
      <c r="L200" s="306">
        <f t="shared" si="20"/>
        <v>0</v>
      </c>
      <c r="M200" s="329"/>
      <c r="N200" s="330"/>
      <c r="O200" s="330"/>
    </row>
    <row r="201" spans="1:15" s="7" customFormat="1" ht="24">
      <c r="A201" s="341">
        <f>+A200+1</f>
        <v>221</v>
      </c>
      <c r="B201" s="341">
        <v>13.7</v>
      </c>
      <c r="C201" s="327" t="s">
        <v>237</v>
      </c>
      <c r="D201" s="340"/>
      <c r="E201" s="340"/>
      <c r="F201" s="340"/>
      <c r="G201" s="340"/>
      <c r="H201" s="340"/>
      <c r="I201" s="340"/>
      <c r="J201" s="340"/>
      <c r="K201" s="306">
        <f t="shared" si="20"/>
        <v>0</v>
      </c>
      <c r="L201" s="306">
        <f t="shared" si="20"/>
        <v>0</v>
      </c>
      <c r="M201" s="329"/>
      <c r="N201" s="330"/>
      <c r="O201" s="330"/>
    </row>
    <row r="202" spans="1:15">
      <c r="A202" s="341">
        <f t="shared" ref="A202:A208" si="25">A201+1</f>
        <v>222</v>
      </c>
      <c r="B202" s="1218" t="s">
        <v>92</v>
      </c>
      <c r="C202" s="1219"/>
      <c r="D202" s="340"/>
      <c r="E202" s="340"/>
      <c r="F202" s="340"/>
      <c r="G202" s="340"/>
      <c r="H202" s="340"/>
      <c r="I202" s="340"/>
      <c r="J202" s="340"/>
      <c r="K202" s="306">
        <f t="shared" si="20"/>
        <v>0</v>
      </c>
      <c r="L202" s="306">
        <f t="shared" si="20"/>
        <v>0</v>
      </c>
      <c r="M202" s="329"/>
      <c r="N202" s="35"/>
      <c r="O202" s="35"/>
    </row>
    <row r="203" spans="1:15">
      <c r="A203" s="301">
        <f t="shared" si="25"/>
        <v>223</v>
      </c>
      <c r="B203" s="301">
        <v>14</v>
      </c>
      <c r="C203" s="302" t="s">
        <v>215</v>
      </c>
      <c r="D203" s="311"/>
      <c r="E203" s="311"/>
      <c r="F203" s="311"/>
      <c r="G203" s="311"/>
      <c r="H203" s="311"/>
      <c r="I203" s="311"/>
      <c r="J203" s="311"/>
      <c r="K203" s="311"/>
      <c r="L203" s="311"/>
      <c r="M203" s="312"/>
      <c r="N203" s="35"/>
      <c r="O203" s="35"/>
    </row>
    <row r="204" spans="1:15">
      <c r="A204" s="39">
        <f t="shared" si="25"/>
        <v>224</v>
      </c>
      <c r="B204" s="39">
        <v>14.1</v>
      </c>
      <c r="C204" s="40" t="s">
        <v>93</v>
      </c>
      <c r="D204" s="306">
        <f>+D207-D206-D205</f>
        <v>36430.800000000003</v>
      </c>
      <c r="E204" s="306">
        <f>+E207-E206-E205</f>
        <v>36407.1</v>
      </c>
      <c r="F204" s="306">
        <f>+F207-F206-F205</f>
        <v>13430.8</v>
      </c>
      <c r="G204" s="306">
        <f>+G207-G206-G205</f>
        <v>13430.8</v>
      </c>
      <c r="H204" s="306">
        <f>5000+6000+3000+10000+30000+975+3040+400+4000+6600</f>
        <v>69015</v>
      </c>
      <c r="I204" s="306"/>
      <c r="J204" s="306">
        <f>H204</f>
        <v>69015</v>
      </c>
      <c r="K204" s="306">
        <f t="shared" si="20"/>
        <v>69015</v>
      </c>
      <c r="L204" s="306">
        <f t="shared" si="20"/>
        <v>69015</v>
      </c>
      <c r="M204" s="308"/>
      <c r="N204" s="35"/>
      <c r="O204" s="35"/>
    </row>
    <row r="205" spans="1:15" ht="24">
      <c r="A205" s="39">
        <f t="shared" si="25"/>
        <v>225</v>
      </c>
      <c r="B205" s="39">
        <v>14.2</v>
      </c>
      <c r="C205" s="40" t="s">
        <v>152</v>
      </c>
      <c r="D205" s="306">
        <v>1367</v>
      </c>
      <c r="E205" s="306">
        <v>1367</v>
      </c>
      <c r="F205" s="306">
        <v>1367</v>
      </c>
      <c r="G205" s="306">
        <v>1367</v>
      </c>
      <c r="H205" s="306">
        <v>0</v>
      </c>
      <c r="I205" s="306"/>
      <c r="J205" s="306">
        <f t="shared" ref="J205:J206" si="26">H205</f>
        <v>0</v>
      </c>
      <c r="K205" s="306">
        <f t="shared" si="20"/>
        <v>0</v>
      </c>
      <c r="L205" s="306">
        <f t="shared" si="20"/>
        <v>0</v>
      </c>
      <c r="M205" s="308"/>
      <c r="N205" s="35"/>
      <c r="O205" s="35"/>
    </row>
    <row r="206" spans="1:15">
      <c r="A206" s="39">
        <f t="shared" si="25"/>
        <v>226</v>
      </c>
      <c r="B206" s="39">
        <v>14.3</v>
      </c>
      <c r="C206" s="40" t="s">
        <v>153</v>
      </c>
      <c r="D206" s="306">
        <v>8780</v>
      </c>
      <c r="E206" s="306">
        <v>8780</v>
      </c>
      <c r="F206" s="306">
        <v>8780</v>
      </c>
      <c r="G206" s="306">
        <v>8780</v>
      </c>
      <c r="H206" s="306">
        <v>8780</v>
      </c>
      <c r="I206" s="306"/>
      <c r="J206" s="306">
        <f t="shared" si="26"/>
        <v>8780</v>
      </c>
      <c r="K206" s="306">
        <f t="shared" si="20"/>
        <v>8780</v>
      </c>
      <c r="L206" s="306">
        <f t="shared" si="20"/>
        <v>8780</v>
      </c>
      <c r="M206" s="308"/>
      <c r="N206" s="35"/>
      <c r="O206" s="35"/>
    </row>
    <row r="207" spans="1:15">
      <c r="A207" s="39">
        <f t="shared" si="25"/>
        <v>227</v>
      </c>
      <c r="B207" s="1216" t="s">
        <v>94</v>
      </c>
      <c r="C207" s="1217"/>
      <c r="D207" s="320">
        <v>46577.8</v>
      </c>
      <c r="E207" s="320">
        <v>46554.1</v>
      </c>
      <c r="F207" s="320">
        <v>23577.8</v>
      </c>
      <c r="G207" s="320">
        <v>23577.8</v>
      </c>
      <c r="H207" s="320">
        <f>H204+H206</f>
        <v>77795</v>
      </c>
      <c r="I207" s="320"/>
      <c r="J207" s="320">
        <f>SUM(J204:J206)</f>
        <v>77795</v>
      </c>
      <c r="K207" s="320">
        <f t="shared" ref="K207:L207" si="27">SUM(K204:K206)</f>
        <v>77795</v>
      </c>
      <c r="L207" s="320">
        <f t="shared" si="27"/>
        <v>77795</v>
      </c>
      <c r="M207" s="308"/>
      <c r="N207" s="35"/>
      <c r="O207" s="35"/>
    </row>
    <row r="208" spans="1:15">
      <c r="A208" s="301">
        <f t="shared" si="25"/>
        <v>228</v>
      </c>
      <c r="B208" s="301">
        <v>15</v>
      </c>
      <c r="C208" s="302" t="s">
        <v>216</v>
      </c>
      <c r="D208" s="311"/>
      <c r="E208" s="311"/>
      <c r="F208" s="311"/>
      <c r="G208" s="311"/>
      <c r="H208" s="311"/>
      <c r="I208" s="311"/>
      <c r="J208" s="311"/>
      <c r="K208" s="311"/>
      <c r="L208" s="311"/>
      <c r="M208" s="312"/>
      <c r="N208" s="35"/>
      <c r="O208" s="35"/>
    </row>
    <row r="209" spans="1:15">
      <c r="A209" s="39">
        <f>+A208+1</f>
        <v>229</v>
      </c>
      <c r="B209" s="1216" t="s">
        <v>95</v>
      </c>
      <c r="C209" s="1217"/>
      <c r="D209" s="306"/>
      <c r="E209" s="306"/>
      <c r="F209" s="306"/>
      <c r="G209" s="306"/>
      <c r="H209" s="306"/>
      <c r="I209" s="306"/>
      <c r="J209" s="306"/>
      <c r="K209" s="306">
        <f t="shared" ref="K209:L271" si="28">J209</f>
        <v>0</v>
      </c>
      <c r="L209" s="306">
        <f t="shared" si="28"/>
        <v>0</v>
      </c>
      <c r="M209" s="308"/>
      <c r="N209" s="35"/>
      <c r="O209" s="35"/>
    </row>
    <row r="210" spans="1:15">
      <c r="A210" s="301">
        <f>A209+1</f>
        <v>230</v>
      </c>
      <c r="B210" s="301">
        <v>16</v>
      </c>
      <c r="C210" s="302" t="s">
        <v>217</v>
      </c>
      <c r="D210" s="311"/>
      <c r="E210" s="311"/>
      <c r="F210" s="311"/>
      <c r="G210" s="311"/>
      <c r="H210" s="311"/>
      <c r="I210" s="311"/>
      <c r="J210" s="311"/>
      <c r="K210" s="311"/>
      <c r="L210" s="311"/>
      <c r="M210" s="312"/>
      <c r="N210" s="35"/>
      <c r="O210" s="35"/>
    </row>
    <row r="211" spans="1:15">
      <c r="A211" s="39">
        <f>A210+1</f>
        <v>231</v>
      </c>
      <c r="B211" s="39">
        <v>16.100000000000001</v>
      </c>
      <c r="C211" s="40" t="s">
        <v>96</v>
      </c>
      <c r="D211" s="306"/>
      <c r="E211" s="306"/>
      <c r="F211" s="306"/>
      <c r="G211" s="306"/>
      <c r="H211" s="306"/>
      <c r="I211" s="306"/>
      <c r="J211" s="306"/>
      <c r="K211" s="306">
        <f t="shared" si="28"/>
        <v>0</v>
      </c>
      <c r="L211" s="306">
        <f t="shared" si="28"/>
        <v>0</v>
      </c>
      <c r="M211" s="308"/>
      <c r="N211" s="35"/>
      <c r="O211" s="35"/>
    </row>
    <row r="212" spans="1:15">
      <c r="A212" s="39">
        <f>A211+1</f>
        <v>232</v>
      </c>
      <c r="B212" s="39">
        <v>16.2</v>
      </c>
      <c r="C212" s="40" t="s">
        <v>97</v>
      </c>
      <c r="D212" s="306"/>
      <c r="E212" s="306"/>
      <c r="F212" s="306"/>
      <c r="G212" s="306"/>
      <c r="H212" s="306"/>
      <c r="I212" s="306"/>
      <c r="J212" s="306"/>
      <c r="K212" s="306">
        <f t="shared" si="28"/>
        <v>0</v>
      </c>
      <c r="L212" s="306">
        <f t="shared" si="28"/>
        <v>0</v>
      </c>
      <c r="M212" s="308"/>
      <c r="N212" s="35"/>
      <c r="O212" s="35"/>
    </row>
    <row r="213" spans="1:15">
      <c r="A213" s="39">
        <f>A212+1</f>
        <v>233</v>
      </c>
      <c r="B213" s="39">
        <v>16.3</v>
      </c>
      <c r="C213" s="40" t="s">
        <v>98</v>
      </c>
      <c r="D213" s="306"/>
      <c r="E213" s="306"/>
      <c r="F213" s="306"/>
      <c r="G213" s="306"/>
      <c r="H213" s="306"/>
      <c r="I213" s="306"/>
      <c r="J213" s="306"/>
      <c r="K213" s="306">
        <f t="shared" si="28"/>
        <v>0</v>
      </c>
      <c r="L213" s="306">
        <f t="shared" si="28"/>
        <v>0</v>
      </c>
      <c r="M213" s="308"/>
      <c r="N213" s="35"/>
      <c r="O213" s="35"/>
    </row>
    <row r="214" spans="1:15">
      <c r="A214" s="39">
        <f>A213+1</f>
        <v>234</v>
      </c>
      <c r="B214" s="1216" t="s">
        <v>99</v>
      </c>
      <c r="C214" s="1217"/>
      <c r="D214" s="306"/>
      <c r="E214" s="306"/>
      <c r="F214" s="306"/>
      <c r="G214" s="306"/>
      <c r="H214" s="306"/>
      <c r="I214" s="306"/>
      <c r="J214" s="306"/>
      <c r="K214" s="306">
        <f t="shared" si="28"/>
        <v>0</v>
      </c>
      <c r="L214" s="306">
        <f t="shared" si="28"/>
        <v>0</v>
      </c>
      <c r="M214" s="308"/>
      <c r="N214" s="35"/>
      <c r="O214" s="35"/>
    </row>
    <row r="215" spans="1:15">
      <c r="A215" s="301">
        <f>+A214+1</f>
        <v>235</v>
      </c>
      <c r="B215" s="301">
        <v>17</v>
      </c>
      <c r="C215" s="302" t="s">
        <v>121</v>
      </c>
      <c r="D215" s="311"/>
      <c r="E215" s="311"/>
      <c r="F215" s="311"/>
      <c r="G215" s="311"/>
      <c r="H215" s="311"/>
      <c r="I215" s="311"/>
      <c r="J215" s="311"/>
      <c r="K215" s="311"/>
      <c r="L215" s="311"/>
      <c r="M215" s="312"/>
      <c r="N215" s="35"/>
      <c r="O215" s="35"/>
    </row>
    <row r="216" spans="1:15">
      <c r="A216" s="39">
        <f>A215+1</f>
        <v>236</v>
      </c>
      <c r="B216" s="39">
        <v>17.100000000000001</v>
      </c>
      <c r="C216" s="40" t="s">
        <v>122</v>
      </c>
      <c r="D216" s="306"/>
      <c r="E216" s="306"/>
      <c r="F216" s="306"/>
      <c r="G216" s="306"/>
      <c r="H216" s="306"/>
      <c r="I216" s="306"/>
      <c r="J216" s="306"/>
      <c r="K216" s="306">
        <f t="shared" si="28"/>
        <v>0</v>
      </c>
      <c r="L216" s="306">
        <f t="shared" si="28"/>
        <v>0</v>
      </c>
      <c r="M216" s="308"/>
      <c r="N216" s="35"/>
      <c r="O216" s="35"/>
    </row>
    <row r="217" spans="1:15">
      <c r="A217" s="39">
        <f>A216+1</f>
        <v>237</v>
      </c>
      <c r="B217" s="39">
        <v>17.2</v>
      </c>
      <c r="C217" s="342" t="s">
        <v>218</v>
      </c>
      <c r="D217" s="306"/>
      <c r="E217" s="306"/>
      <c r="F217" s="306"/>
      <c r="G217" s="306"/>
      <c r="H217" s="306"/>
      <c r="I217" s="306"/>
      <c r="J217" s="306"/>
      <c r="K217" s="306">
        <f t="shared" si="28"/>
        <v>0</v>
      </c>
      <c r="L217" s="306">
        <f t="shared" si="28"/>
        <v>0</v>
      </c>
      <c r="M217" s="308"/>
      <c r="N217" s="35"/>
      <c r="O217" s="35"/>
    </row>
    <row r="218" spans="1:15">
      <c r="A218" s="39">
        <f>+A217+1</f>
        <v>238</v>
      </c>
      <c r="B218" s="39">
        <v>17.3</v>
      </c>
      <c r="C218" s="343" t="s">
        <v>219</v>
      </c>
      <c r="D218" s="314">
        <v>1034.9000000000001</v>
      </c>
      <c r="E218" s="314">
        <v>1034.9000000000001</v>
      </c>
      <c r="F218" s="314">
        <v>1034.9000000000001</v>
      </c>
      <c r="G218" s="314">
        <v>1034.9000000000001</v>
      </c>
      <c r="H218" s="314">
        <v>1330</v>
      </c>
      <c r="I218" s="306"/>
      <c r="J218" s="314">
        <v>1034.9000000000001</v>
      </c>
      <c r="K218" s="306">
        <f t="shared" si="28"/>
        <v>1034.9000000000001</v>
      </c>
      <c r="L218" s="306">
        <f t="shared" si="28"/>
        <v>1034.9000000000001</v>
      </c>
      <c r="M218" s="308"/>
      <c r="N218" s="35"/>
      <c r="O218" s="35"/>
    </row>
    <row r="219" spans="1:15">
      <c r="A219" s="39">
        <f>+A218+1</f>
        <v>239</v>
      </c>
      <c r="B219" s="39">
        <v>17.399999999999999</v>
      </c>
      <c r="C219" s="343" t="s">
        <v>220</v>
      </c>
      <c r="D219" s="314">
        <v>11895</v>
      </c>
      <c r="E219" s="314">
        <v>11895</v>
      </c>
      <c r="F219" s="314">
        <v>12295</v>
      </c>
      <c r="G219" s="314">
        <v>12295</v>
      </c>
      <c r="H219" s="314">
        <v>15960</v>
      </c>
      <c r="I219" s="306"/>
      <c r="J219" s="314">
        <v>12419.2</v>
      </c>
      <c r="K219" s="306">
        <f t="shared" si="28"/>
        <v>12419.2</v>
      </c>
      <c r="L219" s="306">
        <f t="shared" si="28"/>
        <v>12419.2</v>
      </c>
      <c r="M219" s="308"/>
      <c r="N219" s="35"/>
      <c r="O219" s="35"/>
    </row>
    <row r="220" spans="1:15">
      <c r="A220" s="39">
        <f>A219+1</f>
        <v>240</v>
      </c>
      <c r="B220" s="39">
        <v>17.5</v>
      </c>
      <c r="C220" s="343" t="s">
        <v>221</v>
      </c>
      <c r="D220" s="314">
        <v>1330</v>
      </c>
      <c r="E220" s="314">
        <v>1330</v>
      </c>
      <c r="F220" s="314">
        <v>1330</v>
      </c>
      <c r="G220" s="314">
        <v>1330</v>
      </c>
      <c r="H220" s="314">
        <v>1330</v>
      </c>
      <c r="I220" s="306"/>
      <c r="J220" s="314">
        <v>1034.9000000000001</v>
      </c>
      <c r="K220" s="306">
        <f t="shared" si="28"/>
        <v>1034.9000000000001</v>
      </c>
      <c r="L220" s="306">
        <f t="shared" si="28"/>
        <v>1034.9000000000001</v>
      </c>
      <c r="M220" s="308"/>
      <c r="N220" s="35"/>
      <c r="O220" s="35"/>
    </row>
    <row r="221" spans="1:15">
      <c r="A221" s="39">
        <f>A220+1</f>
        <v>241</v>
      </c>
      <c r="B221" s="39">
        <v>17.600000000000001</v>
      </c>
      <c r="C221" s="344" t="s">
        <v>47</v>
      </c>
      <c r="D221" s="314">
        <v>11895</v>
      </c>
      <c r="E221" s="314">
        <v>11885.5</v>
      </c>
      <c r="F221" s="314">
        <v>12295</v>
      </c>
      <c r="G221" s="314">
        <v>12295</v>
      </c>
      <c r="H221" s="314">
        <v>15960</v>
      </c>
      <c r="I221" s="306"/>
      <c r="J221" s="314">
        <v>15960</v>
      </c>
      <c r="K221" s="306">
        <f t="shared" si="28"/>
        <v>15960</v>
      </c>
      <c r="L221" s="306">
        <f t="shared" si="28"/>
        <v>15960</v>
      </c>
      <c r="M221" s="308"/>
      <c r="N221" s="35"/>
      <c r="O221" s="35"/>
    </row>
    <row r="222" spans="1:15" ht="24">
      <c r="A222" s="39">
        <f>A221+1</f>
        <v>242</v>
      </c>
      <c r="B222" s="39">
        <v>17.7</v>
      </c>
      <c r="C222" s="40" t="s">
        <v>832</v>
      </c>
      <c r="D222" s="307"/>
      <c r="E222" s="307"/>
      <c r="F222" s="307"/>
      <c r="G222" s="307"/>
      <c r="H222" s="307"/>
      <c r="I222" s="306"/>
      <c r="J222" s="307"/>
      <c r="K222" s="306">
        <f t="shared" si="28"/>
        <v>0</v>
      </c>
      <c r="L222" s="306">
        <f t="shared" si="28"/>
        <v>0</v>
      </c>
      <c r="M222" s="308"/>
      <c r="N222" s="35"/>
      <c r="O222" s="35"/>
    </row>
    <row r="223" spans="1:15" ht="24">
      <c r="A223" s="39">
        <f>+A222+1</f>
        <v>243</v>
      </c>
      <c r="B223" s="39">
        <v>17.8</v>
      </c>
      <c r="C223" s="497" t="s">
        <v>222</v>
      </c>
      <c r="D223" s="307"/>
      <c r="E223" s="307"/>
      <c r="F223" s="307"/>
      <c r="G223" s="307"/>
      <c r="H223" s="307"/>
      <c r="I223" s="322">
        <f>26725</f>
        <v>26725</v>
      </c>
      <c r="J223" s="496">
        <f>I223</f>
        <v>26725</v>
      </c>
      <c r="K223" s="306"/>
      <c r="L223" s="306">
        <f t="shared" si="28"/>
        <v>0</v>
      </c>
      <c r="M223" s="308"/>
      <c r="N223" s="35"/>
      <c r="O223" s="35"/>
    </row>
    <row r="224" spans="1:15">
      <c r="A224" s="39">
        <f>A223+1</f>
        <v>244</v>
      </c>
      <c r="B224" s="39">
        <v>17.899999999999999</v>
      </c>
      <c r="C224" s="40" t="s">
        <v>223</v>
      </c>
      <c r="D224" s="307"/>
      <c r="E224" s="307"/>
      <c r="F224" s="307"/>
      <c r="G224" s="307"/>
      <c r="H224" s="307"/>
      <c r="I224" s="306"/>
      <c r="J224" s="307"/>
      <c r="K224" s="306">
        <f t="shared" si="28"/>
        <v>0</v>
      </c>
      <c r="L224" s="306">
        <f t="shared" si="28"/>
        <v>0</v>
      </c>
      <c r="M224" s="308"/>
      <c r="N224" s="35"/>
      <c r="O224" s="35"/>
    </row>
    <row r="225" spans="1:15">
      <c r="A225" s="39">
        <f>A224+1</f>
        <v>245</v>
      </c>
      <c r="B225" s="325">
        <v>17.100000000000001</v>
      </c>
      <c r="C225" s="40" t="s">
        <v>160</v>
      </c>
      <c r="D225" s="314">
        <v>2852.2</v>
      </c>
      <c r="E225" s="314">
        <v>1040.0999999999999</v>
      </c>
      <c r="F225" s="314">
        <v>2852.2</v>
      </c>
      <c r="G225" s="314">
        <v>2852.2</v>
      </c>
      <c r="H225" s="307">
        <v>2852.2</v>
      </c>
      <c r="I225" s="306"/>
      <c r="J225" s="307">
        <v>2881</v>
      </c>
      <c r="K225" s="306">
        <f t="shared" si="28"/>
        <v>2881</v>
      </c>
      <c r="L225" s="306">
        <f t="shared" si="28"/>
        <v>2881</v>
      </c>
      <c r="M225" s="308"/>
      <c r="N225" s="35"/>
      <c r="O225" s="35"/>
    </row>
    <row r="226" spans="1:15">
      <c r="A226" s="39">
        <f>A225+1</f>
        <v>246</v>
      </c>
      <c r="B226" s="39">
        <v>17.11</v>
      </c>
      <c r="C226" s="40" t="s">
        <v>123</v>
      </c>
      <c r="D226" s="307">
        <v>185.1</v>
      </c>
      <c r="E226" s="307">
        <v>48.1</v>
      </c>
      <c r="F226" s="307">
        <v>185.1</v>
      </c>
      <c r="G226" s="307">
        <v>185.1</v>
      </c>
      <c r="H226" s="307">
        <v>185.1</v>
      </c>
      <c r="I226" s="306"/>
      <c r="J226" s="307">
        <v>185</v>
      </c>
      <c r="K226" s="306">
        <f t="shared" si="28"/>
        <v>185</v>
      </c>
      <c r="L226" s="306">
        <f t="shared" si="28"/>
        <v>185</v>
      </c>
      <c r="M226" s="308"/>
      <c r="N226" s="35"/>
      <c r="O226" s="35"/>
    </row>
    <row r="227" spans="1:15" ht="24">
      <c r="A227" s="39">
        <f>A226+1</f>
        <v>247</v>
      </c>
      <c r="B227" s="39">
        <v>17.12</v>
      </c>
      <c r="C227" s="305" t="s">
        <v>145</v>
      </c>
      <c r="D227" s="306">
        <v>43560</v>
      </c>
      <c r="E227" s="306">
        <v>42030</v>
      </c>
      <c r="F227" s="306">
        <v>43560</v>
      </c>
      <c r="G227" s="306">
        <v>43560</v>
      </c>
      <c r="H227" s="306">
        <v>73920</v>
      </c>
      <c r="I227" s="306"/>
      <c r="J227" s="306">
        <v>73920</v>
      </c>
      <c r="K227" s="306">
        <f t="shared" si="28"/>
        <v>73920</v>
      </c>
      <c r="L227" s="306">
        <f t="shared" si="28"/>
        <v>73920</v>
      </c>
      <c r="M227" s="308"/>
      <c r="N227" s="35"/>
      <c r="O227" s="35"/>
    </row>
    <row r="228" spans="1:15">
      <c r="A228" s="39">
        <f>+A227+1</f>
        <v>248</v>
      </c>
      <c r="B228" s="1216" t="s">
        <v>124</v>
      </c>
      <c r="C228" s="1217"/>
      <c r="D228" s="345">
        <f t="shared" ref="D228:L228" si="29">D227+D226+D225+D221+D222</f>
        <v>58492.299999999996</v>
      </c>
      <c r="E228" s="345">
        <f t="shared" si="29"/>
        <v>55003.7</v>
      </c>
      <c r="F228" s="345">
        <f t="shared" si="29"/>
        <v>58892.299999999996</v>
      </c>
      <c r="G228" s="345">
        <f t="shared" si="29"/>
        <v>58892.299999999996</v>
      </c>
      <c r="H228" s="345">
        <f t="shared" si="29"/>
        <v>92917.3</v>
      </c>
      <c r="I228" s="345">
        <f t="shared" si="29"/>
        <v>0</v>
      </c>
      <c r="J228" s="345">
        <f t="shared" si="29"/>
        <v>92946</v>
      </c>
      <c r="K228" s="345">
        <f t="shared" si="29"/>
        <v>92946</v>
      </c>
      <c r="L228" s="345">
        <f t="shared" si="29"/>
        <v>92946</v>
      </c>
      <c r="M228" s="308"/>
      <c r="N228" s="35"/>
      <c r="O228" s="35"/>
    </row>
    <row r="229" spans="1:15">
      <c r="A229" s="301">
        <f>+A228+1</f>
        <v>249</v>
      </c>
      <c r="B229" s="301">
        <v>18</v>
      </c>
      <c r="C229" s="302" t="s">
        <v>228</v>
      </c>
      <c r="D229" s="311"/>
      <c r="E229" s="311"/>
      <c r="F229" s="311"/>
      <c r="G229" s="311"/>
      <c r="H229" s="311"/>
      <c r="I229" s="311"/>
      <c r="J229" s="311"/>
      <c r="K229" s="311"/>
      <c r="L229" s="311"/>
      <c r="M229" s="312"/>
      <c r="N229" s="35"/>
      <c r="O229" s="35"/>
    </row>
    <row r="230" spans="1:15">
      <c r="A230" s="39">
        <f>A229+1</f>
        <v>250</v>
      </c>
      <c r="B230" s="39">
        <v>18.100000000000001</v>
      </c>
      <c r="C230" s="497" t="s">
        <v>229</v>
      </c>
      <c r="D230" s="306">
        <f>80583.8+85583.5</f>
        <v>166167.29999999999</v>
      </c>
      <c r="E230" s="306">
        <f>78931.2+85128.6</f>
        <v>164059.79999999999</v>
      </c>
      <c r="F230" s="306">
        <v>423283.5</v>
      </c>
      <c r="G230" s="306">
        <v>423283.5</v>
      </c>
      <c r="H230" s="306"/>
      <c r="I230" s="322">
        <f>53026.9+27594+24480+26500+15000+3000+5000+40000+2500+123300+20000</f>
        <v>340400.9</v>
      </c>
      <c r="J230" s="306">
        <f>H230+I230</f>
        <v>340400.9</v>
      </c>
      <c r="K230" s="306">
        <v>256587</v>
      </c>
      <c r="L230" s="306">
        <f t="shared" si="28"/>
        <v>256587</v>
      </c>
      <c r="M230" s="308"/>
      <c r="N230" s="35"/>
      <c r="O230" s="35"/>
    </row>
    <row r="231" spans="1:15" ht="24">
      <c r="A231" s="341">
        <f>+A230+1</f>
        <v>251</v>
      </c>
      <c r="B231" s="341">
        <v>18.2</v>
      </c>
      <c r="C231" s="346" t="s">
        <v>159</v>
      </c>
      <c r="D231" s="340"/>
      <c r="E231" s="340"/>
      <c r="F231" s="340"/>
      <c r="G231" s="340"/>
      <c r="H231" s="340"/>
      <c r="I231" s="340"/>
      <c r="J231" s="306">
        <f t="shared" ref="J231:J233" si="30">H231+I231</f>
        <v>0</v>
      </c>
      <c r="K231" s="306">
        <f t="shared" si="28"/>
        <v>0</v>
      </c>
      <c r="L231" s="306">
        <f t="shared" si="28"/>
        <v>0</v>
      </c>
      <c r="M231" s="329"/>
      <c r="N231" s="35"/>
      <c r="O231" s="35"/>
    </row>
    <row r="232" spans="1:15" ht="36">
      <c r="A232" s="39">
        <f>+A231+1</f>
        <v>252</v>
      </c>
      <c r="B232" s="39">
        <v>18.3</v>
      </c>
      <c r="C232" s="40" t="s">
        <v>231</v>
      </c>
      <c r="D232" s="322">
        <v>3020307.7</v>
      </c>
      <c r="E232" s="322">
        <v>3003140.7</v>
      </c>
      <c r="F232" s="322">
        <v>3170307.7</v>
      </c>
      <c r="G232" s="322">
        <v>3170307.7</v>
      </c>
      <c r="H232" s="322">
        <v>3603672</v>
      </c>
      <c r="I232" s="337"/>
      <c r="J232" s="306">
        <f t="shared" si="30"/>
        <v>3603672</v>
      </c>
      <c r="K232" s="306">
        <f t="shared" si="28"/>
        <v>3603672</v>
      </c>
      <c r="L232" s="306">
        <f t="shared" si="28"/>
        <v>3603672</v>
      </c>
      <c r="M232" s="308"/>
      <c r="N232" s="35"/>
      <c r="O232" s="35"/>
    </row>
    <row r="233" spans="1:15" ht="36">
      <c r="A233" s="39">
        <f>+A232+1</f>
        <v>253</v>
      </c>
      <c r="B233" s="39">
        <v>18.399999999999999</v>
      </c>
      <c r="C233" s="497" t="s">
        <v>232</v>
      </c>
      <c r="D233" s="322"/>
      <c r="E233" s="322"/>
      <c r="F233" s="322"/>
      <c r="G233" s="322"/>
      <c r="H233" s="322"/>
      <c r="I233" s="322">
        <f>44183.8+124249.1+53093.1</f>
        <v>221526.00000000003</v>
      </c>
      <c r="J233" s="306">
        <f t="shared" si="30"/>
        <v>221526.00000000003</v>
      </c>
      <c r="K233" s="306"/>
      <c r="L233" s="306">
        <f t="shared" si="28"/>
        <v>0</v>
      </c>
      <c r="M233" s="308"/>
      <c r="N233" s="35"/>
      <c r="O233" s="35"/>
    </row>
    <row r="234" spans="1:15">
      <c r="A234" s="39">
        <f>+A233+1</f>
        <v>254</v>
      </c>
      <c r="B234" s="1216" t="s">
        <v>233</v>
      </c>
      <c r="C234" s="1217"/>
      <c r="D234" s="310">
        <f>+SUM(D230:D233)</f>
        <v>3186475</v>
      </c>
      <c r="E234" s="310">
        <f t="shared" ref="E234:L234" si="31">+SUM(E230:E233)</f>
        <v>3167200.5</v>
      </c>
      <c r="F234" s="310">
        <f t="shared" si="31"/>
        <v>3593591.2</v>
      </c>
      <c r="G234" s="310">
        <f t="shared" si="31"/>
        <v>3593591.2</v>
      </c>
      <c r="H234" s="310">
        <f t="shared" si="31"/>
        <v>3603672</v>
      </c>
      <c r="I234" s="310">
        <f t="shared" si="31"/>
        <v>561926.9</v>
      </c>
      <c r="J234" s="310">
        <f t="shared" si="31"/>
        <v>4165598.9</v>
      </c>
      <c r="K234" s="310">
        <f t="shared" si="31"/>
        <v>3860259</v>
      </c>
      <c r="L234" s="310">
        <f t="shared" si="31"/>
        <v>3860259</v>
      </c>
      <c r="M234" s="308"/>
      <c r="N234" s="35"/>
      <c r="O234" s="35"/>
    </row>
    <row r="235" spans="1:15">
      <c r="A235" s="301">
        <f>A234+1</f>
        <v>255</v>
      </c>
      <c r="B235" s="301">
        <v>19</v>
      </c>
      <c r="C235" s="347" t="s">
        <v>146</v>
      </c>
      <c r="D235" s="311"/>
      <c r="E235" s="311"/>
      <c r="F235" s="311"/>
      <c r="G235" s="311"/>
      <c r="H235" s="311"/>
      <c r="I235" s="311"/>
      <c r="J235" s="311"/>
      <c r="K235" s="311"/>
      <c r="L235" s="311"/>
      <c r="M235" s="312"/>
      <c r="N235" s="35"/>
      <c r="O235" s="35"/>
    </row>
    <row r="236" spans="1:15">
      <c r="A236" s="39">
        <f>+A235+1</f>
        <v>256</v>
      </c>
      <c r="B236" s="39">
        <v>19.100000000000001</v>
      </c>
      <c r="C236" s="348" t="s">
        <v>148</v>
      </c>
      <c r="D236" s="306">
        <v>8242.5</v>
      </c>
      <c r="E236" s="306">
        <f>D236</f>
        <v>8242.5</v>
      </c>
      <c r="F236" s="306">
        <v>8242.5</v>
      </c>
      <c r="G236" s="306">
        <f>F236</f>
        <v>8242.5</v>
      </c>
      <c r="H236" s="306">
        <f>G236</f>
        <v>8242.5</v>
      </c>
      <c r="I236" s="306"/>
      <c r="J236" s="306">
        <f>H236</f>
        <v>8242.5</v>
      </c>
      <c r="K236" s="306">
        <f t="shared" si="28"/>
        <v>8242.5</v>
      </c>
      <c r="L236" s="306">
        <f t="shared" si="28"/>
        <v>8242.5</v>
      </c>
      <c r="M236" s="308"/>
      <c r="N236" s="35"/>
      <c r="O236" s="35"/>
    </row>
    <row r="237" spans="1:15">
      <c r="A237" s="39">
        <f>+A236+1</f>
        <v>257</v>
      </c>
      <c r="B237" s="39">
        <v>19.2</v>
      </c>
      <c r="C237" s="348" t="s">
        <v>149</v>
      </c>
      <c r="D237" s="306"/>
      <c r="E237" s="306"/>
      <c r="F237" s="306"/>
      <c r="G237" s="306"/>
      <c r="H237" s="306"/>
      <c r="I237" s="306"/>
      <c r="J237" s="306"/>
      <c r="K237" s="306">
        <f t="shared" si="28"/>
        <v>0</v>
      </c>
      <c r="L237" s="306">
        <f t="shared" si="28"/>
        <v>0</v>
      </c>
      <c r="M237" s="308"/>
      <c r="N237" s="35"/>
      <c r="O237" s="35"/>
    </row>
    <row r="238" spans="1:15" ht="24">
      <c r="A238" s="39">
        <f>+A237+1</f>
        <v>258</v>
      </c>
      <c r="B238" s="39">
        <v>19.3</v>
      </c>
      <c r="C238" s="348" t="s">
        <v>150</v>
      </c>
      <c r="D238" s="306"/>
      <c r="E238" s="306"/>
      <c r="F238" s="306"/>
      <c r="G238" s="306"/>
      <c r="H238" s="306"/>
      <c r="I238" s="306"/>
      <c r="J238" s="306"/>
      <c r="K238" s="306">
        <f t="shared" si="28"/>
        <v>0</v>
      </c>
      <c r="L238" s="306">
        <f t="shared" si="28"/>
        <v>0</v>
      </c>
      <c r="M238" s="308"/>
      <c r="N238" s="35"/>
      <c r="O238" s="35"/>
    </row>
    <row r="239" spans="1:15">
      <c r="A239" s="39">
        <f>+A238+1</f>
        <v>259</v>
      </c>
      <c r="B239" s="39">
        <v>19.399999999999999</v>
      </c>
      <c r="C239" s="348" t="s">
        <v>151</v>
      </c>
      <c r="D239" s="306">
        <v>4500</v>
      </c>
      <c r="E239" s="306">
        <f>E240-E236</f>
        <v>4150.2999999999993</v>
      </c>
      <c r="F239" s="306">
        <v>4500</v>
      </c>
      <c r="G239" s="306">
        <v>4500</v>
      </c>
      <c r="H239" s="306">
        <v>4500</v>
      </c>
      <c r="I239" s="306"/>
      <c r="J239" s="306">
        <v>4500</v>
      </c>
      <c r="K239" s="306">
        <f t="shared" si="28"/>
        <v>4500</v>
      </c>
      <c r="L239" s="306">
        <f t="shared" si="28"/>
        <v>4500</v>
      </c>
      <c r="M239" s="308"/>
      <c r="N239" s="35"/>
      <c r="O239" s="35"/>
    </row>
    <row r="240" spans="1:15">
      <c r="A240" s="39">
        <f>+A239+1</f>
        <v>260</v>
      </c>
      <c r="B240" s="1216" t="s">
        <v>147</v>
      </c>
      <c r="C240" s="1217"/>
      <c r="D240" s="320">
        <v>12742.5</v>
      </c>
      <c r="E240" s="321">
        <v>12392.8</v>
      </c>
      <c r="F240" s="320">
        <v>12742.5</v>
      </c>
      <c r="G240" s="321">
        <v>12742.5</v>
      </c>
      <c r="H240" s="320">
        <v>12742.5</v>
      </c>
      <c r="I240" s="321"/>
      <c r="J240" s="321">
        <v>12742.5</v>
      </c>
      <c r="K240" s="306">
        <f t="shared" si="28"/>
        <v>12742.5</v>
      </c>
      <c r="L240" s="306">
        <f t="shared" si="28"/>
        <v>12742.5</v>
      </c>
      <c r="M240" s="308"/>
      <c r="N240" s="35"/>
      <c r="O240" s="35"/>
    </row>
    <row r="241" spans="1:15">
      <c r="A241" s="301">
        <f t="shared" ref="A241:A251" si="32">A240+1</f>
        <v>261</v>
      </c>
      <c r="B241" s="301">
        <v>20</v>
      </c>
      <c r="C241" s="302" t="s">
        <v>224</v>
      </c>
      <c r="D241" s="311"/>
      <c r="E241" s="311"/>
      <c r="F241" s="311"/>
      <c r="G241" s="311"/>
      <c r="H241" s="311"/>
      <c r="I241" s="311"/>
      <c r="J241" s="311"/>
      <c r="K241" s="311"/>
      <c r="L241" s="311"/>
      <c r="M241" s="312"/>
      <c r="N241" s="35"/>
      <c r="O241" s="35"/>
    </row>
    <row r="242" spans="1:15">
      <c r="A242" s="39">
        <f t="shared" si="32"/>
        <v>262</v>
      </c>
      <c r="B242" s="39">
        <v>20.100000000000001</v>
      </c>
      <c r="C242" s="40" t="s">
        <v>116</v>
      </c>
      <c r="D242" s="306">
        <v>0</v>
      </c>
      <c r="E242" s="306"/>
      <c r="F242" s="306">
        <v>0</v>
      </c>
      <c r="G242" s="306"/>
      <c r="H242" s="306">
        <v>1</v>
      </c>
      <c r="I242" s="306"/>
      <c r="J242" s="306">
        <v>1</v>
      </c>
      <c r="K242" s="306">
        <f t="shared" si="28"/>
        <v>1</v>
      </c>
      <c r="L242" s="306">
        <f t="shared" si="28"/>
        <v>1</v>
      </c>
      <c r="M242" s="308"/>
      <c r="N242" s="35"/>
      <c r="O242" s="35"/>
    </row>
    <row r="243" spans="1:15" ht="24">
      <c r="A243" s="39">
        <f>A242+1</f>
        <v>263</v>
      </c>
      <c r="B243" s="39">
        <v>20.6</v>
      </c>
      <c r="C243" s="305" t="s">
        <v>128</v>
      </c>
      <c r="D243" s="306"/>
      <c r="E243" s="306"/>
      <c r="F243" s="306"/>
      <c r="G243" s="306"/>
      <c r="H243" s="306">
        <v>27811.1</v>
      </c>
      <c r="I243" s="306"/>
      <c r="J243" s="306">
        <v>27811.1</v>
      </c>
      <c r="K243" s="306">
        <f t="shared" si="28"/>
        <v>27811.1</v>
      </c>
      <c r="L243" s="306">
        <f t="shared" si="28"/>
        <v>27811.1</v>
      </c>
      <c r="M243" s="308"/>
      <c r="N243" s="35"/>
      <c r="O243" s="35"/>
    </row>
    <row r="244" spans="1:15" ht="24">
      <c r="A244" s="39">
        <f t="shared" si="32"/>
        <v>264</v>
      </c>
      <c r="B244" s="39">
        <v>20.7</v>
      </c>
      <c r="C244" s="40" t="s">
        <v>132</v>
      </c>
      <c r="D244" s="306"/>
      <c r="E244" s="306"/>
      <c r="F244" s="306"/>
      <c r="G244" s="306"/>
      <c r="H244" s="306"/>
      <c r="I244" s="306"/>
      <c r="J244" s="306"/>
      <c r="K244" s="306">
        <f t="shared" si="28"/>
        <v>0</v>
      </c>
      <c r="L244" s="306">
        <f t="shared" si="28"/>
        <v>0</v>
      </c>
      <c r="M244" s="308"/>
      <c r="N244" s="35"/>
      <c r="O244" s="35"/>
    </row>
    <row r="245" spans="1:15">
      <c r="A245" s="39">
        <f t="shared" si="32"/>
        <v>265</v>
      </c>
      <c r="B245" s="39">
        <v>20.8</v>
      </c>
      <c r="C245" s="305" t="s">
        <v>129</v>
      </c>
      <c r="D245" s="306"/>
      <c r="E245" s="306"/>
      <c r="F245" s="306"/>
      <c r="G245" s="306"/>
      <c r="H245" s="306"/>
      <c r="I245" s="306"/>
      <c r="J245" s="306"/>
      <c r="K245" s="306">
        <f t="shared" si="28"/>
        <v>0</v>
      </c>
      <c r="L245" s="306">
        <f t="shared" si="28"/>
        <v>0</v>
      </c>
      <c r="M245" s="308"/>
      <c r="N245" s="35"/>
      <c r="O245" s="35"/>
    </row>
    <row r="246" spans="1:15">
      <c r="A246" s="39">
        <f t="shared" si="32"/>
        <v>266</v>
      </c>
      <c r="B246" s="39">
        <v>20.9</v>
      </c>
      <c r="C246" s="305" t="s">
        <v>130</v>
      </c>
      <c r="D246" s="306"/>
      <c r="E246" s="306"/>
      <c r="F246" s="306"/>
      <c r="G246" s="306"/>
      <c r="H246" s="306"/>
      <c r="I246" s="306"/>
      <c r="J246" s="306"/>
      <c r="K246" s="306">
        <f t="shared" si="28"/>
        <v>0</v>
      </c>
      <c r="L246" s="306">
        <f t="shared" si="28"/>
        <v>0</v>
      </c>
      <c r="M246" s="308"/>
      <c r="N246" s="35"/>
      <c r="O246" s="35"/>
    </row>
    <row r="247" spans="1:15" ht="24">
      <c r="A247" s="39">
        <f t="shared" si="32"/>
        <v>267</v>
      </c>
      <c r="B247" s="325">
        <v>20.100000000000001</v>
      </c>
      <c r="C247" s="305" t="s">
        <v>158</v>
      </c>
      <c r="D247" s="306"/>
      <c r="E247" s="306"/>
      <c r="F247" s="306"/>
      <c r="G247" s="306"/>
      <c r="H247" s="306"/>
      <c r="I247" s="306"/>
      <c r="J247" s="306"/>
      <c r="K247" s="306">
        <f t="shared" si="28"/>
        <v>0</v>
      </c>
      <c r="L247" s="306">
        <f t="shared" si="28"/>
        <v>0</v>
      </c>
      <c r="M247" s="308"/>
      <c r="N247" s="35"/>
      <c r="O247" s="35"/>
    </row>
    <row r="248" spans="1:15" ht="24">
      <c r="A248" s="39">
        <f t="shared" si="32"/>
        <v>268</v>
      </c>
      <c r="B248" s="39">
        <v>20.11</v>
      </c>
      <c r="C248" s="315" t="s">
        <v>100</v>
      </c>
      <c r="D248" s="306"/>
      <c r="E248" s="306"/>
      <c r="F248" s="306"/>
      <c r="G248" s="306"/>
      <c r="H248" s="306"/>
      <c r="I248" s="306"/>
      <c r="J248" s="306"/>
      <c r="K248" s="306">
        <f t="shared" si="28"/>
        <v>0</v>
      </c>
      <c r="L248" s="306">
        <f t="shared" si="28"/>
        <v>0</v>
      </c>
      <c r="M248" s="308"/>
      <c r="N248" s="35"/>
      <c r="O248" s="35"/>
    </row>
    <row r="249" spans="1:15">
      <c r="A249" s="39">
        <f t="shared" si="32"/>
        <v>269</v>
      </c>
      <c r="B249" s="39">
        <v>20.12</v>
      </c>
      <c r="C249" s="40" t="s">
        <v>101</v>
      </c>
      <c r="D249" s="306">
        <v>8000</v>
      </c>
      <c r="E249" s="306">
        <v>7997.5</v>
      </c>
      <c r="F249" s="306">
        <v>1680</v>
      </c>
      <c r="G249" s="306">
        <v>1680</v>
      </c>
      <c r="H249" s="306">
        <v>8000</v>
      </c>
      <c r="I249" s="306"/>
      <c r="J249" s="306">
        <v>8000</v>
      </c>
      <c r="K249" s="306">
        <f t="shared" si="28"/>
        <v>8000</v>
      </c>
      <c r="L249" s="306">
        <f t="shared" si="28"/>
        <v>8000</v>
      </c>
      <c r="M249" s="308"/>
      <c r="N249" s="35"/>
      <c r="O249" s="35"/>
    </row>
    <row r="250" spans="1:15">
      <c r="A250" s="39">
        <f t="shared" si="32"/>
        <v>270</v>
      </c>
      <c r="B250" s="39">
        <v>20.13</v>
      </c>
      <c r="C250" s="40" t="s">
        <v>102</v>
      </c>
      <c r="D250" s="306">
        <v>0</v>
      </c>
      <c r="E250" s="306">
        <v>0</v>
      </c>
      <c r="F250" s="306">
        <v>0</v>
      </c>
      <c r="G250" s="306">
        <v>0</v>
      </c>
      <c r="H250" s="306">
        <v>0</v>
      </c>
      <c r="I250" s="306"/>
      <c r="J250" s="306">
        <v>23700</v>
      </c>
      <c r="K250" s="306">
        <f t="shared" si="28"/>
        <v>23700</v>
      </c>
      <c r="L250" s="306">
        <f t="shared" si="28"/>
        <v>23700</v>
      </c>
      <c r="M250" s="308"/>
      <c r="N250" s="35"/>
      <c r="O250" s="35"/>
    </row>
    <row r="251" spans="1:15">
      <c r="A251" s="39">
        <f t="shared" si="32"/>
        <v>271</v>
      </c>
      <c r="B251" s="1216" t="s">
        <v>103</v>
      </c>
      <c r="C251" s="1217"/>
      <c r="D251" s="320">
        <f>+D250+D249</f>
        <v>8000</v>
      </c>
      <c r="E251" s="320">
        <f>+E250+E249</f>
        <v>7997.5</v>
      </c>
      <c r="F251" s="320">
        <f>+F250+F249</f>
        <v>1680</v>
      </c>
      <c r="G251" s="320">
        <f>+G250+G249</f>
        <v>1680</v>
      </c>
      <c r="H251" s="320">
        <f>+H250+H249+H243</f>
        <v>35811.1</v>
      </c>
      <c r="I251" s="320"/>
      <c r="J251" s="320">
        <f>H251</f>
        <v>35811.1</v>
      </c>
      <c r="K251" s="320">
        <f t="shared" ref="K251:L251" si="33">I251</f>
        <v>0</v>
      </c>
      <c r="L251" s="320">
        <f t="shared" si="33"/>
        <v>35811.1</v>
      </c>
      <c r="M251" s="308"/>
      <c r="N251" s="35"/>
      <c r="O251" s="35"/>
    </row>
    <row r="252" spans="1:15">
      <c r="A252" s="301">
        <f>+A251+1</f>
        <v>272</v>
      </c>
      <c r="B252" s="301">
        <v>21</v>
      </c>
      <c r="C252" s="302" t="s">
        <v>126</v>
      </c>
      <c r="D252" s="311"/>
      <c r="E252" s="311"/>
      <c r="F252" s="311"/>
      <c r="G252" s="311"/>
      <c r="H252" s="311"/>
      <c r="I252" s="311"/>
      <c r="J252" s="311"/>
      <c r="K252" s="311"/>
      <c r="L252" s="311"/>
      <c r="M252" s="312"/>
      <c r="N252" s="35"/>
      <c r="O252" s="35"/>
    </row>
    <row r="253" spans="1:15">
      <c r="A253" s="39">
        <f>A252+1</f>
        <v>273</v>
      </c>
      <c r="B253" s="39">
        <v>21.1</v>
      </c>
      <c r="C253" s="40" t="s">
        <v>225</v>
      </c>
      <c r="D253" s="306"/>
      <c r="E253" s="306"/>
      <c r="F253" s="306"/>
      <c r="G253" s="306"/>
      <c r="H253" s="306"/>
      <c r="I253" s="306"/>
      <c r="J253" s="306"/>
      <c r="K253" s="306">
        <f t="shared" si="28"/>
        <v>0</v>
      </c>
      <c r="L253" s="306">
        <f t="shared" si="28"/>
        <v>0</v>
      </c>
      <c r="M253" s="308"/>
      <c r="N253" s="35"/>
      <c r="O253" s="35"/>
    </row>
    <row r="254" spans="1:15">
      <c r="A254" s="39">
        <f>A253+1</f>
        <v>274</v>
      </c>
      <c r="B254" s="39">
        <v>21.2</v>
      </c>
      <c r="C254" s="40" t="s">
        <v>226</v>
      </c>
      <c r="D254" s="306"/>
      <c r="E254" s="306"/>
      <c r="F254" s="306"/>
      <c r="G254" s="306"/>
      <c r="H254" s="306"/>
      <c r="I254" s="306"/>
      <c r="J254" s="306"/>
      <c r="K254" s="306">
        <f t="shared" si="28"/>
        <v>0</v>
      </c>
      <c r="L254" s="306">
        <f t="shared" si="28"/>
        <v>0</v>
      </c>
      <c r="M254" s="308"/>
      <c r="N254" s="35"/>
      <c r="O254" s="35"/>
    </row>
    <row r="255" spans="1:15">
      <c r="A255" s="39">
        <f>A254+1</f>
        <v>275</v>
      </c>
      <c r="B255" s="39">
        <v>21.3</v>
      </c>
      <c r="C255" s="40" t="s">
        <v>227</v>
      </c>
      <c r="D255" s="306">
        <v>742.5</v>
      </c>
      <c r="E255" s="306">
        <v>525.5</v>
      </c>
      <c r="F255" s="306">
        <v>742.5</v>
      </c>
      <c r="G255" s="306">
        <v>742.5</v>
      </c>
      <c r="H255" s="306">
        <v>750</v>
      </c>
      <c r="I255" s="306"/>
      <c r="J255" s="306">
        <v>750</v>
      </c>
      <c r="K255" s="306">
        <f t="shared" si="28"/>
        <v>750</v>
      </c>
      <c r="L255" s="306">
        <f t="shared" si="28"/>
        <v>750</v>
      </c>
      <c r="M255" s="308"/>
      <c r="N255" s="35"/>
      <c r="O255" s="35"/>
    </row>
    <row r="256" spans="1:15">
      <c r="A256" s="39">
        <f>A255+1</f>
        <v>276</v>
      </c>
      <c r="B256" s="39">
        <v>21.4</v>
      </c>
      <c r="C256" s="40" t="s">
        <v>127</v>
      </c>
      <c r="D256" s="306">
        <v>871.2</v>
      </c>
      <c r="E256" s="306">
        <v>151.6</v>
      </c>
      <c r="F256" s="306">
        <v>871.2</v>
      </c>
      <c r="G256" s="306">
        <v>871.2</v>
      </c>
      <c r="H256" s="306">
        <v>871.2</v>
      </c>
      <c r="I256" s="306"/>
      <c r="J256" s="306">
        <v>871.2</v>
      </c>
      <c r="K256" s="306">
        <f t="shared" si="28"/>
        <v>871.2</v>
      </c>
      <c r="L256" s="306">
        <f t="shared" si="28"/>
        <v>871.2</v>
      </c>
      <c r="M256" s="308"/>
      <c r="N256" s="35"/>
      <c r="O256" s="35"/>
    </row>
    <row r="257" spans="1:15">
      <c r="A257" s="39">
        <f>A256+1</f>
        <v>277</v>
      </c>
      <c r="B257" s="1216" t="s">
        <v>125</v>
      </c>
      <c r="C257" s="1217"/>
      <c r="D257" s="322">
        <f>D255+D256</f>
        <v>1613.7</v>
      </c>
      <c r="E257" s="322">
        <f t="shared" ref="E257:L257" si="34">E255+E256</f>
        <v>677.1</v>
      </c>
      <c r="F257" s="322">
        <f t="shared" si="34"/>
        <v>1613.7</v>
      </c>
      <c r="G257" s="322">
        <f t="shared" si="34"/>
        <v>1613.7</v>
      </c>
      <c r="H257" s="322">
        <f t="shared" si="34"/>
        <v>1621.2</v>
      </c>
      <c r="I257" s="322">
        <f t="shared" si="34"/>
        <v>0</v>
      </c>
      <c r="J257" s="322">
        <f t="shared" si="34"/>
        <v>1621.2</v>
      </c>
      <c r="K257" s="322">
        <f t="shared" si="34"/>
        <v>1621.2</v>
      </c>
      <c r="L257" s="322">
        <f t="shared" si="34"/>
        <v>1621.2</v>
      </c>
      <c r="M257" s="308"/>
      <c r="N257" s="35"/>
      <c r="O257" s="35"/>
    </row>
    <row r="258" spans="1:15">
      <c r="A258" s="349">
        <f>+A257+1</f>
        <v>278</v>
      </c>
      <c r="B258" s="1214" t="s">
        <v>104</v>
      </c>
      <c r="C258" s="1215"/>
      <c r="D258" s="350">
        <v>4567919.5</v>
      </c>
      <c r="E258" s="350">
        <v>4723700.0999999996</v>
      </c>
      <c r="F258" s="350">
        <v>5384996.7000000002</v>
      </c>
      <c r="G258" s="350">
        <v>5384996.7000000002</v>
      </c>
      <c r="H258" s="350">
        <f>+SUM(H257+H251+H240+H234+H228+H207+H186+H181+H175+H171+H118+H105+H95+H63+H38+H32+H23)</f>
        <v>6717189.7000000002</v>
      </c>
      <c r="I258" s="350">
        <f t="shared" ref="I258:L258" si="35">+SUM(I257+I251+I240+I234+I228+I207+I186+I181+I175+I171+I118+I105+I95+I63+I38+I32+I23)</f>
        <v>601927.4</v>
      </c>
      <c r="J258" s="350">
        <f t="shared" si="35"/>
        <v>7319145.8000000007</v>
      </c>
      <c r="K258" s="350">
        <f t="shared" si="35"/>
        <v>6992994.8000000007</v>
      </c>
      <c r="L258" s="350">
        <f t="shared" si="35"/>
        <v>8022017.3000000007</v>
      </c>
      <c r="M258" s="351"/>
      <c r="N258" s="35"/>
      <c r="O258" s="35"/>
    </row>
    <row r="259" spans="1:15">
      <c r="A259" s="301">
        <f>+A258+1</f>
        <v>279</v>
      </c>
      <c r="B259" s="301">
        <v>22</v>
      </c>
      <c r="C259" s="352" t="s">
        <v>105</v>
      </c>
      <c r="D259" s="311"/>
      <c r="E259" s="311"/>
      <c r="F259" s="311"/>
      <c r="G259" s="311"/>
      <c r="H259" s="311"/>
      <c r="I259" s="311"/>
      <c r="J259" s="311"/>
      <c r="K259" s="311"/>
      <c r="L259" s="311"/>
      <c r="M259" s="312"/>
      <c r="N259" s="35"/>
      <c r="O259" s="35"/>
    </row>
    <row r="260" spans="1:15">
      <c r="A260" s="39">
        <f>A259+1</f>
        <v>280</v>
      </c>
      <c r="B260" s="39">
        <v>22.1</v>
      </c>
      <c r="C260" s="40" t="s">
        <v>106</v>
      </c>
      <c r="D260" s="306"/>
      <c r="E260" s="306"/>
      <c r="F260" s="306"/>
      <c r="G260" s="306"/>
      <c r="H260" s="306"/>
      <c r="I260" s="306"/>
      <c r="J260" s="306"/>
      <c r="K260" s="306">
        <f t="shared" si="28"/>
        <v>0</v>
      </c>
      <c r="L260" s="306">
        <f t="shared" si="28"/>
        <v>0</v>
      </c>
      <c r="M260" s="308"/>
      <c r="N260" s="35"/>
      <c r="O260" s="35"/>
    </row>
    <row r="261" spans="1:15">
      <c r="A261" s="39">
        <f>A260+1</f>
        <v>281</v>
      </c>
      <c r="B261" s="39">
        <v>22.2</v>
      </c>
      <c r="C261" s="40" t="s">
        <v>107</v>
      </c>
      <c r="D261" s="322">
        <v>400000</v>
      </c>
      <c r="E261" s="322">
        <v>452631.8</v>
      </c>
      <c r="F261" s="322">
        <v>565000</v>
      </c>
      <c r="G261" s="322">
        <v>565000</v>
      </c>
      <c r="H261" s="322">
        <v>500000</v>
      </c>
      <c r="I261" s="306"/>
      <c r="J261" s="322">
        <v>500000</v>
      </c>
      <c r="K261" s="306">
        <f t="shared" si="28"/>
        <v>500000</v>
      </c>
      <c r="L261" s="306">
        <f t="shared" si="28"/>
        <v>500000</v>
      </c>
      <c r="M261" s="308"/>
      <c r="N261" s="35">
        <v>177382.3</v>
      </c>
      <c r="O261" s="35"/>
    </row>
    <row r="262" spans="1:15" ht="24">
      <c r="A262" s="39">
        <f>+A261+1</f>
        <v>282</v>
      </c>
      <c r="B262" s="39">
        <v>22.3</v>
      </c>
      <c r="C262" s="353" t="s">
        <v>117</v>
      </c>
      <c r="D262" s="322"/>
      <c r="E262" s="322"/>
      <c r="F262" s="322"/>
      <c r="G262" s="322"/>
      <c r="H262" s="322"/>
      <c r="I262" s="306"/>
      <c r="J262" s="322"/>
      <c r="K262" s="306">
        <f t="shared" si="28"/>
        <v>0</v>
      </c>
      <c r="L262" s="306">
        <f t="shared" si="28"/>
        <v>0</v>
      </c>
      <c r="M262" s="308"/>
      <c r="N262" s="35"/>
      <c r="O262" s="35"/>
    </row>
    <row r="263" spans="1:15" ht="24">
      <c r="A263" s="39">
        <f t="shared" ref="A263:A272" si="36">A262+1</f>
        <v>283</v>
      </c>
      <c r="B263" s="39">
        <v>22.4</v>
      </c>
      <c r="C263" s="354" t="s">
        <v>178</v>
      </c>
      <c r="D263" s="322"/>
      <c r="E263" s="322"/>
      <c r="F263" s="322"/>
      <c r="G263" s="322"/>
      <c r="H263" s="322"/>
      <c r="I263" s="306"/>
      <c r="J263" s="322"/>
      <c r="K263" s="306">
        <f t="shared" si="28"/>
        <v>0</v>
      </c>
      <c r="L263" s="306">
        <f t="shared" si="28"/>
        <v>0</v>
      </c>
      <c r="M263" s="308"/>
      <c r="N263" s="35"/>
      <c r="O263" s="35"/>
    </row>
    <row r="264" spans="1:15" ht="24">
      <c r="A264" s="39">
        <f t="shared" si="36"/>
        <v>284</v>
      </c>
      <c r="B264" s="39">
        <v>22.5</v>
      </c>
      <c r="C264" s="354" t="s">
        <v>176</v>
      </c>
      <c r="D264" s="322"/>
      <c r="E264" s="322"/>
      <c r="F264" s="322"/>
      <c r="G264" s="322"/>
      <c r="H264" s="322"/>
      <c r="I264" s="306"/>
      <c r="J264" s="322"/>
      <c r="K264" s="306">
        <f t="shared" si="28"/>
        <v>0</v>
      </c>
      <c r="L264" s="306">
        <f t="shared" si="28"/>
        <v>0</v>
      </c>
      <c r="M264" s="308"/>
      <c r="N264" s="35"/>
      <c r="O264" s="35"/>
    </row>
    <row r="265" spans="1:15">
      <c r="A265" s="39">
        <f t="shared" si="36"/>
        <v>285</v>
      </c>
      <c r="B265" s="39">
        <v>22.6</v>
      </c>
      <c r="C265" s="40" t="s">
        <v>108</v>
      </c>
      <c r="D265" s="322">
        <v>100000</v>
      </c>
      <c r="E265" s="322">
        <v>113134.5</v>
      </c>
      <c r="F265" s="322">
        <v>100000</v>
      </c>
      <c r="G265" s="322">
        <v>100000</v>
      </c>
      <c r="H265" s="322">
        <v>100000</v>
      </c>
      <c r="I265" s="306"/>
      <c r="J265" s="322">
        <v>100000</v>
      </c>
      <c r="K265" s="306">
        <f t="shared" si="28"/>
        <v>100000</v>
      </c>
      <c r="L265" s="306">
        <f t="shared" si="28"/>
        <v>100000</v>
      </c>
      <c r="M265" s="308"/>
      <c r="N265" s="35">
        <v>51760</v>
      </c>
      <c r="O265" s="35"/>
    </row>
    <row r="266" spans="1:15">
      <c r="A266" s="39">
        <f t="shared" si="36"/>
        <v>286</v>
      </c>
      <c r="B266" s="39">
        <v>22.7</v>
      </c>
      <c r="C266" s="307" t="s">
        <v>109</v>
      </c>
      <c r="D266" s="322">
        <v>4438319.5</v>
      </c>
      <c r="E266" s="322">
        <v>4147919.5</v>
      </c>
      <c r="F266" s="322">
        <f>+F258-F261-F265</f>
        <v>4719996.7</v>
      </c>
      <c r="G266" s="322">
        <f>+G258-G261-G265</f>
        <v>4719996.7</v>
      </c>
      <c r="H266" s="322">
        <f>+H258-H261-H265</f>
        <v>6117189.7000000002</v>
      </c>
      <c r="I266" s="322"/>
      <c r="J266" s="322">
        <f t="shared" ref="J266:L266" si="37">+J258-J261-J265</f>
        <v>6719145.8000000007</v>
      </c>
      <c r="K266" s="322">
        <f t="shared" si="37"/>
        <v>6392994.8000000007</v>
      </c>
      <c r="L266" s="322">
        <f t="shared" si="37"/>
        <v>7422017.3000000007</v>
      </c>
      <c r="M266" s="308"/>
      <c r="N266" s="35">
        <v>1449416.7</v>
      </c>
      <c r="O266" s="35"/>
    </row>
    <row r="267" spans="1:15">
      <c r="A267" s="301">
        <f t="shared" si="36"/>
        <v>287</v>
      </c>
      <c r="B267" s="301">
        <v>23</v>
      </c>
      <c r="C267" s="352" t="s">
        <v>110</v>
      </c>
      <c r="D267" s="311">
        <v>1</v>
      </c>
      <c r="E267" s="311">
        <v>1</v>
      </c>
      <c r="F267" s="311">
        <v>1</v>
      </c>
      <c r="G267" s="311">
        <v>1</v>
      </c>
      <c r="H267" s="311">
        <v>1</v>
      </c>
      <c r="I267" s="311"/>
      <c r="J267" s="311">
        <v>1</v>
      </c>
      <c r="K267" s="311">
        <v>1</v>
      </c>
      <c r="L267" s="311">
        <v>1</v>
      </c>
      <c r="M267" s="312"/>
      <c r="N267" s="35"/>
      <c r="O267" s="35"/>
    </row>
    <row r="268" spans="1:15">
      <c r="A268" s="301">
        <f t="shared" si="36"/>
        <v>288</v>
      </c>
      <c r="B268" s="301">
        <v>24</v>
      </c>
      <c r="C268" s="352" t="s">
        <v>111</v>
      </c>
      <c r="D268" s="311">
        <v>84</v>
      </c>
      <c r="E268" s="311">
        <v>84</v>
      </c>
      <c r="F268" s="311">
        <v>84</v>
      </c>
      <c r="G268" s="311">
        <v>84</v>
      </c>
      <c r="H268" s="311">
        <v>84</v>
      </c>
      <c r="I268" s="311"/>
      <c r="J268" s="311">
        <v>84</v>
      </c>
      <c r="K268" s="311">
        <v>84</v>
      </c>
      <c r="L268" s="311">
        <v>84</v>
      </c>
      <c r="M268" s="312"/>
      <c r="N268" s="35"/>
      <c r="O268" s="35"/>
    </row>
    <row r="269" spans="1:15">
      <c r="A269" s="39">
        <f t="shared" si="36"/>
        <v>289</v>
      </c>
      <c r="B269" s="39">
        <v>24.1</v>
      </c>
      <c r="C269" s="40" t="s">
        <v>236</v>
      </c>
      <c r="D269" s="306">
        <v>84</v>
      </c>
      <c r="E269" s="306">
        <v>84</v>
      </c>
      <c r="F269" s="306">
        <v>84</v>
      </c>
      <c r="G269" s="306">
        <v>84</v>
      </c>
      <c r="H269" s="306">
        <v>84</v>
      </c>
      <c r="I269" s="306"/>
      <c r="J269" s="306">
        <v>84</v>
      </c>
      <c r="K269" s="306">
        <f t="shared" si="28"/>
        <v>84</v>
      </c>
      <c r="L269" s="306">
        <f t="shared" si="28"/>
        <v>84</v>
      </c>
      <c r="M269" s="308"/>
      <c r="N269" s="35"/>
      <c r="O269" s="35"/>
    </row>
    <row r="270" spans="1:15">
      <c r="A270" s="39">
        <f t="shared" si="36"/>
        <v>290</v>
      </c>
      <c r="B270" s="39">
        <v>24.2</v>
      </c>
      <c r="C270" s="40" t="s">
        <v>112</v>
      </c>
      <c r="D270" s="306">
        <v>1</v>
      </c>
      <c r="E270" s="306">
        <v>1</v>
      </c>
      <c r="F270" s="306">
        <v>1</v>
      </c>
      <c r="G270" s="306">
        <v>1</v>
      </c>
      <c r="H270" s="306">
        <v>1</v>
      </c>
      <c r="I270" s="306"/>
      <c r="J270" s="306">
        <v>1</v>
      </c>
      <c r="K270" s="306">
        <f t="shared" si="28"/>
        <v>1</v>
      </c>
      <c r="L270" s="306">
        <f t="shared" si="28"/>
        <v>1</v>
      </c>
      <c r="M270" s="308"/>
      <c r="N270" s="35"/>
      <c r="O270" s="35"/>
    </row>
    <row r="271" spans="1:15">
      <c r="A271" s="39">
        <f t="shared" si="36"/>
        <v>291</v>
      </c>
      <c r="B271" s="39">
        <v>24.3</v>
      </c>
      <c r="C271" s="40" t="s">
        <v>113</v>
      </c>
      <c r="D271" s="306">
        <v>71</v>
      </c>
      <c r="E271" s="306">
        <v>71</v>
      </c>
      <c r="F271" s="306">
        <v>71</v>
      </c>
      <c r="G271" s="306">
        <v>71</v>
      </c>
      <c r="H271" s="306">
        <v>71</v>
      </c>
      <c r="I271" s="306"/>
      <c r="J271" s="306">
        <v>71</v>
      </c>
      <c r="K271" s="306">
        <f t="shared" si="28"/>
        <v>71</v>
      </c>
      <c r="L271" s="306">
        <f t="shared" si="28"/>
        <v>71</v>
      </c>
      <c r="M271" s="308"/>
      <c r="N271" s="35"/>
      <c r="O271" s="35"/>
    </row>
    <row r="272" spans="1:15">
      <c r="A272" s="39">
        <f t="shared" si="36"/>
        <v>292</v>
      </c>
      <c r="B272" s="39">
        <v>24.4</v>
      </c>
      <c r="C272" s="307" t="s">
        <v>114</v>
      </c>
      <c r="D272" s="306">
        <v>12</v>
      </c>
      <c r="E272" s="306">
        <v>12</v>
      </c>
      <c r="F272" s="306">
        <v>12</v>
      </c>
      <c r="G272" s="306">
        <v>12</v>
      </c>
      <c r="H272" s="306">
        <v>12</v>
      </c>
      <c r="I272" s="306"/>
      <c r="J272" s="306">
        <v>12</v>
      </c>
      <c r="K272" s="306">
        <f t="shared" ref="K272:L273" si="38">J272</f>
        <v>12</v>
      </c>
      <c r="L272" s="306">
        <f t="shared" si="38"/>
        <v>12</v>
      </c>
      <c r="M272" s="308"/>
      <c r="N272" s="35"/>
      <c r="O272" s="35"/>
    </row>
    <row r="273" spans="1:15">
      <c r="A273" s="39">
        <f>+A272+1</f>
        <v>293</v>
      </c>
      <c r="B273" s="39">
        <v>24.5</v>
      </c>
      <c r="C273" s="40" t="s">
        <v>115</v>
      </c>
      <c r="D273" s="306">
        <v>0</v>
      </c>
      <c r="E273" s="306">
        <v>0</v>
      </c>
      <c r="F273" s="306">
        <v>0</v>
      </c>
      <c r="G273" s="306">
        <v>0</v>
      </c>
      <c r="H273" s="306">
        <v>0</v>
      </c>
      <c r="I273" s="306"/>
      <c r="J273" s="306">
        <v>0</v>
      </c>
      <c r="K273" s="306">
        <f t="shared" si="38"/>
        <v>0</v>
      </c>
      <c r="L273" s="306">
        <f t="shared" si="38"/>
        <v>0</v>
      </c>
      <c r="M273" s="308"/>
      <c r="N273" s="35"/>
      <c r="O273" s="35"/>
    </row>
    <row r="274" spans="1:15" ht="15">
      <c r="A274" s="12"/>
      <c r="B274" s="12"/>
      <c r="C274" s="13"/>
      <c r="D274" s="11"/>
      <c r="E274" s="11"/>
      <c r="F274" s="11"/>
      <c r="G274" s="11"/>
      <c r="H274" s="11"/>
      <c r="I274" s="11"/>
      <c r="J274" s="11"/>
      <c r="K274" s="11"/>
      <c r="L274" s="11"/>
      <c r="M274" s="14"/>
    </row>
    <row r="275" spans="1:15" ht="15.75" customHeight="1">
      <c r="A275" s="12"/>
      <c r="B275" s="12"/>
      <c r="C275" s="141"/>
      <c r="D275" s="142"/>
      <c r="E275" s="142"/>
      <c r="F275" s="142"/>
      <c r="G275" s="11"/>
      <c r="H275" s="11"/>
      <c r="I275" s="11"/>
      <c r="J275" s="11"/>
      <c r="K275" s="11"/>
      <c r="L275" s="11"/>
      <c r="M275" s="14"/>
    </row>
    <row r="276" spans="1:15" ht="15">
      <c r="A276" s="12"/>
      <c r="B276" s="12"/>
      <c r="C276" s="13"/>
      <c r="D276" s="11"/>
      <c r="E276" s="11"/>
      <c r="F276" s="11"/>
      <c r="G276" s="11"/>
      <c r="H276" s="11"/>
      <c r="I276" s="11"/>
      <c r="J276" s="11"/>
      <c r="K276" s="11"/>
      <c r="L276" s="11"/>
      <c r="M276" s="14"/>
    </row>
    <row r="277" spans="1:15" ht="15">
      <c r="A277" s="12"/>
      <c r="B277" s="12"/>
      <c r="C277" s="13" t="s">
        <v>976</v>
      </c>
      <c r="D277" s="11" t="s">
        <v>978</v>
      </c>
      <c r="E277" s="11"/>
      <c r="F277" s="11"/>
      <c r="G277" s="11"/>
      <c r="H277" s="11"/>
      <c r="I277" s="11"/>
      <c r="J277" s="11"/>
      <c r="K277" s="11"/>
      <c r="L277" s="11"/>
      <c r="M277" s="14"/>
    </row>
    <row r="278" spans="1:15" ht="15">
      <c r="A278" s="12"/>
      <c r="B278" s="12"/>
      <c r="C278" s="13"/>
      <c r="D278" s="11"/>
      <c r="E278" s="11"/>
      <c r="F278" s="11"/>
      <c r="G278" s="11"/>
      <c r="H278" s="11"/>
      <c r="I278" s="11"/>
      <c r="J278" s="11"/>
      <c r="K278" s="11"/>
      <c r="L278" s="11"/>
      <c r="M278" s="14"/>
    </row>
    <row r="279" spans="1:15" ht="15">
      <c r="A279" s="12"/>
      <c r="B279" s="12"/>
      <c r="C279" s="13"/>
      <c r="D279" s="11"/>
      <c r="E279" s="11"/>
      <c r="F279" s="11"/>
      <c r="G279" s="11"/>
      <c r="H279" s="11"/>
      <c r="I279" s="11"/>
      <c r="J279" s="11"/>
      <c r="K279" s="11"/>
      <c r="L279" s="11"/>
      <c r="M279" s="14"/>
    </row>
    <row r="280" spans="1:15" ht="15">
      <c r="A280" s="12"/>
      <c r="B280" s="12"/>
      <c r="C280" s="13" t="s">
        <v>977</v>
      </c>
      <c r="D280" s="11" t="s">
        <v>979</v>
      </c>
      <c r="E280" s="11"/>
      <c r="F280" s="11"/>
      <c r="G280" s="11"/>
      <c r="H280" s="11"/>
      <c r="I280" s="11"/>
      <c r="J280" s="11"/>
      <c r="K280" s="11"/>
      <c r="L280" s="11"/>
      <c r="M280" s="14"/>
    </row>
    <row r="281" spans="1:15" ht="15">
      <c r="A281" s="12"/>
      <c r="B281" s="12"/>
      <c r="C281" s="13"/>
      <c r="D281" s="11"/>
      <c r="E281" s="11"/>
      <c r="F281" s="11"/>
      <c r="G281" s="11"/>
      <c r="H281" s="11"/>
      <c r="I281" s="11"/>
      <c r="J281" s="11"/>
      <c r="K281" s="11"/>
      <c r="L281" s="11"/>
      <c r="M281" s="14"/>
    </row>
    <row r="282" spans="1:15" ht="15">
      <c r="A282" s="12"/>
      <c r="B282" s="12"/>
      <c r="C282" s="13"/>
      <c r="D282" s="11"/>
      <c r="E282" s="11"/>
      <c r="F282" s="11"/>
      <c r="G282" s="11"/>
      <c r="H282" s="11"/>
      <c r="I282" s="11"/>
      <c r="J282" s="11"/>
      <c r="K282" s="11"/>
      <c r="L282" s="11"/>
      <c r="M282" s="14"/>
    </row>
    <row r="283" spans="1:15" ht="15">
      <c r="A283" s="12"/>
      <c r="B283" s="12"/>
      <c r="C283" s="13"/>
      <c r="D283" s="11"/>
      <c r="E283" s="11"/>
      <c r="F283" s="11"/>
      <c r="G283" s="11"/>
      <c r="H283" s="11"/>
      <c r="I283" s="11"/>
      <c r="J283" s="11"/>
      <c r="K283" s="11"/>
      <c r="L283" s="11"/>
      <c r="M283" s="14"/>
    </row>
    <row r="284" spans="1:15" ht="15">
      <c r="A284" s="12"/>
      <c r="B284" s="12"/>
      <c r="C284" s="13"/>
      <c r="D284" s="11"/>
      <c r="E284" s="11"/>
      <c r="F284" s="11"/>
      <c r="G284" s="11"/>
      <c r="H284" s="11"/>
      <c r="I284" s="11"/>
      <c r="J284" s="11"/>
      <c r="K284" s="11"/>
      <c r="L284" s="11"/>
      <c r="M284" s="14"/>
    </row>
    <row r="285" spans="1:15" ht="15">
      <c r="A285" s="12"/>
      <c r="B285" s="12"/>
      <c r="C285" s="13"/>
      <c r="D285" s="11"/>
      <c r="E285" s="11"/>
      <c r="F285" s="11"/>
      <c r="G285" s="11"/>
      <c r="H285" s="11"/>
      <c r="I285" s="11"/>
      <c r="J285" s="11"/>
      <c r="K285" s="11"/>
      <c r="L285" s="11"/>
      <c r="M285" s="14"/>
    </row>
    <row r="286" spans="1:15" ht="15">
      <c r="A286" s="12"/>
      <c r="B286" s="12"/>
      <c r="C286" s="13"/>
      <c r="D286" s="11"/>
      <c r="E286" s="11"/>
      <c r="F286" s="11"/>
      <c r="G286" s="11"/>
      <c r="H286" s="11"/>
      <c r="I286" s="11"/>
      <c r="J286" s="11"/>
      <c r="K286" s="11"/>
      <c r="L286" s="11"/>
      <c r="M286" s="14"/>
    </row>
    <row r="287" spans="1:15" ht="15">
      <c r="A287" s="12"/>
      <c r="B287" s="12"/>
      <c r="C287" s="13"/>
      <c r="D287" s="11"/>
      <c r="E287" s="11"/>
      <c r="F287" s="11"/>
      <c r="G287" s="11"/>
      <c r="H287" s="11"/>
      <c r="I287" s="11"/>
      <c r="J287" s="11"/>
      <c r="K287" s="11"/>
      <c r="L287" s="11"/>
      <c r="M287" s="14"/>
    </row>
    <row r="288" spans="1:15" ht="15">
      <c r="A288" s="12"/>
      <c r="B288" s="12"/>
      <c r="C288" s="13"/>
      <c r="D288" s="11"/>
      <c r="E288" s="11"/>
      <c r="F288" s="11"/>
      <c r="G288" s="11"/>
      <c r="H288" s="11"/>
      <c r="I288" s="11"/>
      <c r="J288" s="11"/>
      <c r="K288" s="11"/>
      <c r="L288" s="11"/>
      <c r="M288" s="14"/>
    </row>
    <row r="289" spans="1:13" ht="15">
      <c r="A289" s="12"/>
      <c r="B289" s="12"/>
      <c r="C289" s="13"/>
      <c r="D289" s="11"/>
      <c r="E289" s="11"/>
      <c r="F289" s="11"/>
      <c r="G289" s="11"/>
      <c r="H289" s="11"/>
      <c r="I289" s="11"/>
      <c r="J289" s="11"/>
      <c r="K289" s="11"/>
      <c r="L289" s="11"/>
      <c r="M289" s="14"/>
    </row>
    <row r="290" spans="1:13" ht="15">
      <c r="A290" s="12"/>
      <c r="B290" s="12"/>
      <c r="C290" s="13"/>
      <c r="D290" s="11"/>
      <c r="E290" s="11"/>
      <c r="F290" s="11"/>
      <c r="G290" s="11"/>
      <c r="H290" s="11"/>
      <c r="I290" s="11"/>
      <c r="J290" s="11"/>
      <c r="K290" s="11"/>
      <c r="L290" s="11"/>
      <c r="M290" s="14"/>
    </row>
    <row r="291" spans="1:13" ht="15">
      <c r="A291" s="12"/>
      <c r="B291" s="12"/>
      <c r="C291" s="13"/>
      <c r="D291" s="11"/>
      <c r="E291" s="11"/>
      <c r="F291" s="11"/>
      <c r="G291" s="11"/>
      <c r="H291" s="11"/>
      <c r="I291" s="11"/>
      <c r="J291" s="11"/>
      <c r="K291" s="11"/>
      <c r="L291" s="11"/>
      <c r="M291" s="14"/>
    </row>
    <row r="292" spans="1:13" ht="15">
      <c r="A292" s="12"/>
      <c r="B292" s="12"/>
      <c r="C292" s="13"/>
      <c r="D292" s="11"/>
      <c r="E292" s="11"/>
      <c r="F292" s="11"/>
      <c r="G292" s="11"/>
      <c r="H292" s="11"/>
      <c r="I292" s="11"/>
      <c r="J292" s="11"/>
      <c r="K292" s="11"/>
      <c r="L292" s="11"/>
      <c r="M292" s="14"/>
    </row>
    <row r="293" spans="1:13" ht="15">
      <c r="A293" s="12"/>
      <c r="B293" s="12"/>
      <c r="C293" s="13"/>
      <c r="D293" s="11"/>
      <c r="E293" s="11"/>
      <c r="F293" s="11"/>
      <c r="G293" s="11"/>
      <c r="H293" s="11"/>
      <c r="I293" s="11"/>
      <c r="J293" s="11"/>
      <c r="K293" s="11"/>
      <c r="L293" s="11"/>
      <c r="M293" s="14"/>
    </row>
    <row r="294" spans="1:13" ht="15">
      <c r="A294" s="12"/>
      <c r="B294" s="12"/>
      <c r="C294" s="13"/>
      <c r="D294" s="11"/>
      <c r="E294" s="11"/>
      <c r="F294" s="11"/>
      <c r="G294" s="11"/>
      <c r="H294" s="11"/>
      <c r="I294" s="11"/>
      <c r="J294" s="11"/>
      <c r="K294" s="11"/>
      <c r="L294" s="11"/>
      <c r="M294" s="14"/>
    </row>
    <row r="295" spans="1:13" ht="15">
      <c r="A295" s="12"/>
      <c r="B295" s="12"/>
      <c r="C295" s="13"/>
      <c r="D295" s="11"/>
      <c r="E295" s="11"/>
      <c r="F295" s="11"/>
      <c r="G295" s="11"/>
      <c r="H295" s="11"/>
      <c r="I295" s="11"/>
      <c r="J295" s="11"/>
      <c r="K295" s="11"/>
      <c r="L295" s="11"/>
      <c r="M295" s="14"/>
    </row>
    <row r="296" spans="1:13" ht="15">
      <c r="A296" s="12"/>
      <c r="B296" s="12"/>
      <c r="C296" s="13"/>
      <c r="D296" s="11"/>
      <c r="E296" s="11"/>
      <c r="F296" s="11"/>
      <c r="G296" s="11"/>
      <c r="H296" s="11"/>
      <c r="I296" s="11"/>
      <c r="J296" s="11"/>
      <c r="K296" s="11"/>
      <c r="L296" s="11"/>
      <c r="M296" s="14"/>
    </row>
    <row r="297" spans="1:13" ht="15">
      <c r="A297" s="12"/>
      <c r="B297" s="12"/>
      <c r="C297" s="13"/>
      <c r="D297" s="11"/>
      <c r="E297" s="11"/>
      <c r="F297" s="11"/>
      <c r="G297" s="11"/>
      <c r="H297" s="11"/>
      <c r="I297" s="11"/>
      <c r="J297" s="11"/>
      <c r="K297" s="11"/>
      <c r="L297" s="11"/>
      <c r="M297" s="14"/>
    </row>
    <row r="298" spans="1:13" ht="15">
      <c r="A298" s="12"/>
      <c r="B298" s="12"/>
      <c r="C298" s="13"/>
      <c r="D298" s="11"/>
      <c r="E298" s="11"/>
      <c r="F298" s="11"/>
      <c r="G298" s="11"/>
      <c r="H298" s="11"/>
      <c r="I298" s="11"/>
      <c r="J298" s="11"/>
      <c r="K298" s="11"/>
      <c r="L298" s="11"/>
      <c r="M298" s="14"/>
    </row>
    <row r="299" spans="1:13" ht="15">
      <c r="A299" s="12"/>
      <c r="B299" s="12"/>
      <c r="C299" s="13"/>
      <c r="D299" s="11"/>
      <c r="E299" s="11"/>
      <c r="F299" s="11"/>
      <c r="G299" s="11"/>
      <c r="H299" s="11"/>
      <c r="I299" s="11"/>
      <c r="J299" s="11"/>
      <c r="K299" s="11"/>
      <c r="L299" s="11"/>
      <c r="M299" s="14"/>
    </row>
    <row r="300" spans="1:13" ht="15">
      <c r="A300" s="12"/>
      <c r="B300" s="12"/>
      <c r="C300" s="13"/>
      <c r="D300" s="11"/>
      <c r="E300" s="11"/>
      <c r="F300" s="11"/>
      <c r="G300" s="11"/>
      <c r="H300" s="11"/>
      <c r="I300" s="11"/>
      <c r="J300" s="11"/>
      <c r="K300" s="11"/>
      <c r="L300" s="11"/>
      <c r="M300" s="14"/>
    </row>
    <row r="301" spans="1:13" ht="15">
      <c r="A301" s="12"/>
      <c r="B301" s="12"/>
      <c r="C301" s="13"/>
      <c r="D301" s="11"/>
      <c r="E301" s="11"/>
      <c r="F301" s="11"/>
      <c r="G301" s="11"/>
      <c r="H301" s="11"/>
      <c r="I301" s="11"/>
      <c r="J301" s="11"/>
      <c r="K301" s="11"/>
      <c r="L301" s="11"/>
      <c r="M301" s="14"/>
    </row>
    <row r="302" spans="1:13" ht="15">
      <c r="A302" s="12"/>
      <c r="B302" s="12"/>
      <c r="C302" s="13"/>
      <c r="D302" s="11"/>
      <c r="E302" s="11"/>
      <c r="F302" s="11"/>
      <c r="G302" s="11"/>
      <c r="H302" s="11"/>
      <c r="I302" s="11"/>
      <c r="J302" s="11"/>
      <c r="K302" s="11"/>
      <c r="L302" s="11"/>
      <c r="M302" s="14"/>
    </row>
    <row r="303" spans="1:13" ht="15">
      <c r="A303" s="12"/>
      <c r="B303" s="12"/>
      <c r="C303" s="13"/>
      <c r="D303" s="11"/>
      <c r="E303" s="11"/>
      <c r="F303" s="11"/>
      <c r="G303" s="11"/>
      <c r="H303" s="11"/>
      <c r="I303" s="11"/>
      <c r="J303" s="11"/>
      <c r="K303" s="11"/>
      <c r="L303" s="11"/>
      <c r="M303" s="14"/>
    </row>
    <row r="304" spans="1:13" ht="15">
      <c r="A304" s="12"/>
      <c r="B304" s="12"/>
      <c r="C304" s="13"/>
      <c r="D304" s="11"/>
      <c r="E304" s="11"/>
      <c r="F304" s="11"/>
      <c r="G304" s="11"/>
      <c r="H304" s="11"/>
      <c r="I304" s="11"/>
      <c r="J304" s="11"/>
      <c r="K304" s="11"/>
      <c r="L304" s="11"/>
      <c r="M304" s="14"/>
    </row>
    <row r="305" spans="1:13" ht="15">
      <c r="A305" s="12"/>
      <c r="B305" s="12"/>
      <c r="C305" s="13"/>
      <c r="D305" s="11"/>
      <c r="E305" s="11"/>
      <c r="F305" s="11"/>
      <c r="G305" s="11"/>
      <c r="H305" s="11"/>
      <c r="I305" s="11"/>
      <c r="J305" s="11"/>
      <c r="K305" s="11"/>
      <c r="L305" s="11"/>
      <c r="M305" s="14"/>
    </row>
    <row r="306" spans="1:13" ht="15">
      <c r="A306" s="12"/>
      <c r="B306" s="12"/>
      <c r="C306" s="13"/>
      <c r="D306" s="11"/>
      <c r="E306" s="11"/>
      <c r="F306" s="11"/>
      <c r="G306" s="11"/>
      <c r="H306" s="11"/>
      <c r="I306" s="11"/>
      <c r="J306" s="11"/>
      <c r="K306" s="11"/>
      <c r="L306" s="11"/>
      <c r="M306" s="14"/>
    </row>
    <row r="307" spans="1:13" ht="15">
      <c r="A307" s="12"/>
      <c r="B307" s="12"/>
      <c r="C307" s="13"/>
      <c r="D307" s="11"/>
      <c r="E307" s="11"/>
      <c r="F307" s="11"/>
      <c r="G307" s="11"/>
      <c r="H307" s="11"/>
      <c r="I307" s="11"/>
      <c r="J307" s="11"/>
      <c r="K307" s="11"/>
      <c r="L307" s="11"/>
      <c r="M307" s="14"/>
    </row>
    <row r="308" spans="1:13" ht="15">
      <c r="A308" s="12"/>
      <c r="B308" s="12"/>
      <c r="C308" s="13"/>
      <c r="D308" s="11"/>
      <c r="E308" s="11"/>
      <c r="F308" s="11"/>
      <c r="G308" s="11"/>
      <c r="H308" s="11"/>
      <c r="I308" s="11"/>
      <c r="J308" s="11"/>
      <c r="K308" s="11"/>
      <c r="L308" s="11"/>
      <c r="M308" s="14"/>
    </row>
    <row r="309" spans="1:13" ht="15">
      <c r="A309" s="12"/>
      <c r="B309" s="12"/>
      <c r="C309" s="13"/>
      <c r="D309" s="11"/>
      <c r="E309" s="11"/>
      <c r="F309" s="11"/>
      <c r="G309" s="11"/>
      <c r="H309" s="11"/>
      <c r="I309" s="11"/>
      <c r="J309" s="11"/>
      <c r="K309" s="11"/>
      <c r="L309" s="11"/>
      <c r="M309" s="14"/>
    </row>
    <row r="310" spans="1:13" ht="15">
      <c r="A310" s="12"/>
      <c r="B310" s="12"/>
      <c r="C310" s="13"/>
      <c r="D310" s="11"/>
      <c r="E310" s="11"/>
      <c r="F310" s="11"/>
      <c r="G310" s="11"/>
      <c r="H310" s="11"/>
      <c r="I310" s="11"/>
      <c r="J310" s="11"/>
      <c r="K310" s="11"/>
      <c r="L310" s="11"/>
      <c r="M310" s="14"/>
    </row>
    <row r="311" spans="1:13" ht="15">
      <c r="A311" s="12"/>
      <c r="B311" s="12"/>
      <c r="C311" s="13"/>
      <c r="D311" s="11"/>
      <c r="E311" s="11"/>
      <c r="F311" s="11"/>
      <c r="G311" s="11"/>
      <c r="H311" s="11"/>
      <c r="I311" s="11"/>
      <c r="J311" s="11"/>
      <c r="K311" s="11"/>
      <c r="L311" s="11"/>
      <c r="M311" s="14"/>
    </row>
    <row r="312" spans="1:13" ht="15">
      <c r="A312" s="12"/>
      <c r="B312" s="12"/>
      <c r="C312" s="13"/>
      <c r="D312" s="11"/>
      <c r="E312" s="11"/>
      <c r="F312" s="11"/>
      <c r="G312" s="11"/>
      <c r="H312" s="11"/>
      <c r="I312" s="11"/>
      <c r="J312" s="11"/>
      <c r="K312" s="11"/>
      <c r="L312" s="11"/>
      <c r="M312" s="14"/>
    </row>
    <row r="313" spans="1:13" ht="15">
      <c r="A313" s="12"/>
      <c r="B313" s="12"/>
      <c r="C313" s="13"/>
      <c r="D313" s="11"/>
      <c r="E313" s="11"/>
      <c r="F313" s="11"/>
      <c r="G313" s="11"/>
      <c r="H313" s="11"/>
      <c r="I313" s="11"/>
      <c r="J313" s="11"/>
      <c r="K313" s="11"/>
      <c r="L313" s="11"/>
      <c r="M313" s="14"/>
    </row>
    <row r="314" spans="1:13" ht="15">
      <c r="A314" s="12"/>
      <c r="B314" s="12"/>
      <c r="C314" s="13"/>
      <c r="D314" s="11"/>
      <c r="E314" s="11"/>
      <c r="F314" s="11"/>
      <c r="G314" s="11"/>
      <c r="H314" s="11"/>
      <c r="I314" s="11"/>
      <c r="J314" s="11"/>
      <c r="K314" s="11"/>
      <c r="L314" s="11"/>
      <c r="M314" s="14"/>
    </row>
    <row r="315" spans="1:13" ht="15">
      <c r="A315" s="12"/>
      <c r="B315" s="12"/>
      <c r="C315" s="13"/>
      <c r="D315" s="11"/>
      <c r="E315" s="11"/>
      <c r="F315" s="11"/>
      <c r="G315" s="11"/>
      <c r="H315" s="11"/>
      <c r="I315" s="11"/>
      <c r="J315" s="11"/>
      <c r="K315" s="11"/>
      <c r="L315" s="11"/>
      <c r="M315" s="14"/>
    </row>
    <row r="316" spans="1:13" ht="15">
      <c r="A316" s="12"/>
      <c r="B316" s="12"/>
      <c r="C316" s="13"/>
      <c r="D316" s="11"/>
      <c r="E316" s="11"/>
      <c r="F316" s="11"/>
      <c r="G316" s="11"/>
      <c r="H316" s="11"/>
      <c r="I316" s="11"/>
      <c r="J316" s="11"/>
      <c r="K316" s="11"/>
      <c r="L316" s="11"/>
      <c r="M316" s="14"/>
    </row>
    <row r="317" spans="1:13" ht="15">
      <c r="A317" s="12"/>
      <c r="B317" s="12"/>
      <c r="C317" s="13"/>
      <c r="D317" s="11"/>
      <c r="E317" s="11"/>
      <c r="F317" s="11"/>
      <c r="G317" s="11"/>
      <c r="H317" s="11"/>
      <c r="I317" s="11"/>
      <c r="J317" s="11"/>
      <c r="K317" s="11"/>
      <c r="L317" s="11"/>
      <c r="M317" s="14"/>
    </row>
    <row r="318" spans="1:13" ht="15">
      <c r="A318" s="12"/>
      <c r="B318" s="12"/>
      <c r="C318" s="13"/>
      <c r="D318" s="11"/>
      <c r="E318" s="11"/>
      <c r="F318" s="11"/>
      <c r="G318" s="11"/>
      <c r="H318" s="11"/>
      <c r="I318" s="11"/>
      <c r="J318" s="11"/>
      <c r="K318" s="11"/>
      <c r="L318" s="11"/>
      <c r="M318" s="14"/>
    </row>
    <row r="319" spans="1:13" ht="15">
      <c r="A319" s="12"/>
      <c r="B319" s="12"/>
      <c r="C319" s="13"/>
      <c r="D319" s="11"/>
      <c r="E319" s="11"/>
      <c r="F319" s="11"/>
      <c r="G319" s="11"/>
      <c r="H319" s="11"/>
      <c r="I319" s="11"/>
      <c r="J319" s="11"/>
      <c r="K319" s="11"/>
      <c r="L319" s="11"/>
      <c r="M319" s="14"/>
    </row>
    <row r="320" spans="1:13" ht="15">
      <c r="A320" s="12"/>
      <c r="B320" s="12"/>
      <c r="C320" s="13"/>
      <c r="D320" s="11"/>
      <c r="E320" s="11"/>
      <c r="F320" s="11"/>
      <c r="G320" s="11"/>
      <c r="H320" s="11"/>
      <c r="I320" s="11"/>
      <c r="J320" s="11"/>
      <c r="K320" s="11"/>
      <c r="L320" s="11"/>
      <c r="M320" s="14"/>
    </row>
    <row r="321" spans="1:13" ht="15">
      <c r="A321" s="12"/>
      <c r="B321" s="12"/>
      <c r="C321" s="13"/>
      <c r="D321" s="11"/>
      <c r="E321" s="11"/>
      <c r="F321" s="11"/>
      <c r="G321" s="11"/>
      <c r="H321" s="11"/>
      <c r="I321" s="11"/>
      <c r="J321" s="11"/>
      <c r="K321" s="11"/>
      <c r="L321" s="11"/>
      <c r="M321" s="14"/>
    </row>
    <row r="322" spans="1:13" ht="15">
      <c r="A322" s="12"/>
      <c r="B322" s="12"/>
      <c r="C322" s="13"/>
      <c r="D322" s="11"/>
      <c r="E322" s="11"/>
      <c r="F322" s="11"/>
      <c r="G322" s="11"/>
      <c r="H322" s="11"/>
      <c r="I322" s="11"/>
      <c r="J322" s="11"/>
      <c r="K322" s="11"/>
      <c r="L322" s="11"/>
      <c r="M322" s="14"/>
    </row>
    <row r="323" spans="1:13" ht="15">
      <c r="A323" s="12"/>
      <c r="B323" s="12"/>
      <c r="C323" s="13"/>
      <c r="D323" s="11"/>
      <c r="E323" s="11"/>
      <c r="F323" s="11"/>
      <c r="G323" s="11"/>
      <c r="H323" s="11"/>
      <c r="I323" s="11"/>
      <c r="J323" s="11"/>
      <c r="K323" s="11"/>
      <c r="L323" s="11"/>
      <c r="M323" s="14"/>
    </row>
    <row r="324" spans="1:13" ht="15">
      <c r="A324" s="12"/>
      <c r="B324" s="12"/>
      <c r="C324" s="13"/>
      <c r="D324" s="11"/>
      <c r="E324" s="11"/>
      <c r="F324" s="11"/>
      <c r="G324" s="11"/>
      <c r="H324" s="11"/>
      <c r="I324" s="11"/>
      <c r="J324" s="11"/>
      <c r="K324" s="11"/>
      <c r="L324" s="11"/>
      <c r="M324" s="14"/>
    </row>
    <row r="325" spans="1:13" ht="15">
      <c r="A325" s="12"/>
      <c r="B325" s="12"/>
      <c r="C325" s="13"/>
      <c r="D325" s="11"/>
      <c r="E325" s="11"/>
      <c r="F325" s="11"/>
      <c r="G325" s="11"/>
      <c r="H325" s="11"/>
      <c r="I325" s="11"/>
      <c r="J325" s="11"/>
      <c r="K325" s="11"/>
      <c r="L325" s="11"/>
      <c r="M325" s="14"/>
    </row>
    <row r="326" spans="1:13" ht="15">
      <c r="A326" s="12"/>
      <c r="B326" s="12"/>
      <c r="C326" s="13"/>
      <c r="D326" s="11"/>
      <c r="E326" s="11"/>
      <c r="F326" s="11"/>
      <c r="G326" s="11"/>
      <c r="H326" s="11"/>
      <c r="I326" s="11"/>
      <c r="J326" s="11"/>
      <c r="K326" s="11"/>
      <c r="L326" s="11"/>
      <c r="M326" s="14"/>
    </row>
    <row r="327" spans="1:13" ht="15">
      <c r="A327" s="12"/>
      <c r="B327"/>
      <c r="C327"/>
      <c r="D327"/>
      <c r="E327"/>
      <c r="F327"/>
      <c r="G327"/>
      <c r="H327"/>
      <c r="I327"/>
      <c r="J327"/>
      <c r="K327"/>
      <c r="L327"/>
      <c r="M327"/>
    </row>
    <row r="328" spans="1:13" ht="15">
      <c r="A328" s="12"/>
      <c r="B328"/>
      <c r="C328"/>
      <c r="D328"/>
      <c r="E328"/>
      <c r="F328"/>
      <c r="G328"/>
      <c r="H328"/>
      <c r="I328"/>
      <c r="J328"/>
      <c r="K328"/>
      <c r="L328"/>
      <c r="M328"/>
    </row>
  </sheetData>
  <mergeCells count="31">
    <mergeCell ref="D10:M10"/>
    <mergeCell ref="M11:M12"/>
    <mergeCell ref="D11:E11"/>
    <mergeCell ref="F11:G11"/>
    <mergeCell ref="H11:J11"/>
    <mergeCell ref="B175:C175"/>
    <mergeCell ref="B207:C207"/>
    <mergeCell ref="B95:C95"/>
    <mergeCell ref="A10:A12"/>
    <mergeCell ref="B10:B12"/>
    <mergeCell ref="C10:C12"/>
    <mergeCell ref="B23:C23"/>
    <mergeCell ref="B32:C32"/>
    <mergeCell ref="B38:C38"/>
    <mergeCell ref="B63:C63"/>
    <mergeCell ref="B6:C6"/>
    <mergeCell ref="B258:C258"/>
    <mergeCell ref="B186:C186"/>
    <mergeCell ref="B194:C194"/>
    <mergeCell ref="B202:C202"/>
    <mergeCell ref="B181:C181"/>
    <mergeCell ref="B228:C228"/>
    <mergeCell ref="B209:C209"/>
    <mergeCell ref="B257:C257"/>
    <mergeCell ref="B214:C214"/>
    <mergeCell ref="B251:C251"/>
    <mergeCell ref="B240:C240"/>
    <mergeCell ref="B234:C234"/>
    <mergeCell ref="B105:C105"/>
    <mergeCell ref="B118:C118"/>
    <mergeCell ref="B171:C171"/>
  </mergeCells>
  <pageMargins left="0.27559055118110198" right="0.196850393700787" top="0.5" bottom="0.25" header="0.196850393700787" footer="0.196850393700787"/>
  <pageSetup paperSize="9" scale="8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tabSelected="1" workbookViewId="0">
      <selection activeCell="AH9" sqref="AH9"/>
    </sheetView>
  </sheetViews>
  <sheetFormatPr defaultRowHeight="15"/>
  <cols>
    <col min="1" max="1" width="13.5703125" style="753" customWidth="1"/>
    <col min="2" max="2" width="16.85546875" style="753" customWidth="1"/>
    <col min="3" max="3" width="10.28515625" style="753" bestFit="1" customWidth="1"/>
    <col min="4" max="4" width="10.140625" style="753" bestFit="1" customWidth="1"/>
    <col min="5" max="5" width="12" style="753" customWidth="1"/>
    <col min="6" max="6" width="10.28515625" style="753" bestFit="1" customWidth="1"/>
    <col min="7" max="7" width="9.5703125" style="753" bestFit="1" customWidth="1"/>
    <col min="8" max="8" width="11.7109375" style="753" customWidth="1"/>
    <col min="9" max="9" width="8.85546875" style="753" bestFit="1" customWidth="1"/>
    <col min="10" max="10" width="11.85546875" style="753" bestFit="1" customWidth="1"/>
    <col min="11" max="11" width="11.85546875" style="753" customWidth="1"/>
    <col min="12" max="12" width="10.7109375" style="753" bestFit="1" customWidth="1"/>
    <col min="14" max="14" width="3.42578125" customWidth="1"/>
    <col min="15" max="15" width="33.140625" customWidth="1"/>
    <col min="16" max="16" width="10.85546875" customWidth="1"/>
    <col min="17" max="17" width="12.42578125" customWidth="1"/>
    <col min="18" max="18" width="15" customWidth="1"/>
    <col min="20" max="20" width="4.7109375" style="1788" customWidth="1"/>
    <col min="21" max="21" width="43" style="1784" customWidth="1"/>
    <col min="22" max="22" width="24.7109375" style="1784" customWidth="1"/>
    <col min="23" max="23" width="11.140625" style="1784" customWidth="1"/>
    <col min="24" max="24" width="11" style="1789" customWidth="1"/>
    <col min="25" max="25" width="14.42578125" style="1784" customWidth="1"/>
    <col min="26" max="26" width="14.85546875" style="1784" customWidth="1"/>
    <col min="28" max="28" width="6" style="1177" customWidth="1"/>
    <col min="29" max="29" width="45.7109375" style="699" customWidth="1"/>
    <col min="30" max="30" width="20.140625" style="700" customWidth="1"/>
    <col min="31" max="31" width="82.140625" style="1787" customWidth="1"/>
    <col min="33" max="33" width="4.5703125" style="580" customWidth="1"/>
    <col min="34" max="34" width="36.7109375" style="580" customWidth="1"/>
    <col min="35" max="35" width="17.5703125" style="580" customWidth="1"/>
    <col min="36" max="36" width="17.28515625" style="580" customWidth="1"/>
  </cols>
  <sheetData>
    <row r="1" spans="1:36" ht="15.75" customHeight="1">
      <c r="N1" s="1317" t="s">
        <v>3149</v>
      </c>
      <c r="O1" s="1317"/>
      <c r="P1" s="1317"/>
      <c r="Q1" s="1317"/>
      <c r="R1" s="1317"/>
      <c r="AB1" s="1554" t="s">
        <v>3159</v>
      </c>
      <c r="AC1" s="1554"/>
      <c r="AD1" s="1554"/>
      <c r="AE1" s="1554"/>
      <c r="AG1" s="1317" t="s">
        <v>3173</v>
      </c>
      <c r="AH1" s="1317"/>
      <c r="AI1" s="1317"/>
      <c r="AJ1" s="1317"/>
    </row>
    <row r="2" spans="1:36" ht="15.75">
      <c r="A2" s="1625" t="s">
        <v>3144</v>
      </c>
      <c r="B2" s="1625"/>
      <c r="C2" s="1625"/>
      <c r="D2" s="1625"/>
      <c r="E2" s="1625"/>
      <c r="F2" s="1625"/>
      <c r="G2" s="1625"/>
      <c r="H2" s="1625"/>
      <c r="I2" s="1625"/>
      <c r="J2" s="1625"/>
      <c r="K2" s="1625"/>
      <c r="L2" s="1625"/>
      <c r="T2" s="1620" t="s">
        <v>3152</v>
      </c>
      <c r="U2" s="1620"/>
      <c r="V2" s="1620"/>
      <c r="W2" s="1620"/>
      <c r="X2" s="1620"/>
      <c r="Y2" s="1620"/>
      <c r="Z2" s="1620"/>
      <c r="AB2" s="681"/>
      <c r="AC2" s="1180"/>
      <c r="AD2" s="683"/>
      <c r="AE2" s="779" t="s">
        <v>3160</v>
      </c>
    </row>
    <row r="3" spans="1:36" ht="30">
      <c r="A3" s="1188"/>
      <c r="B3" s="1188"/>
      <c r="C3" s="1188"/>
      <c r="D3" s="1188"/>
      <c r="E3" s="1188"/>
      <c r="F3" s="1188"/>
      <c r="G3" s="1188"/>
      <c r="H3" s="1188"/>
      <c r="I3" s="1188"/>
      <c r="J3" s="1188"/>
      <c r="K3" s="1188"/>
      <c r="L3" s="1188"/>
      <c r="N3" s="1786" t="s">
        <v>1</v>
      </c>
      <c r="O3" s="1786" t="s">
        <v>1525</v>
      </c>
      <c r="P3" s="713" t="s">
        <v>1530</v>
      </c>
      <c r="Q3" s="1176" t="s">
        <v>3150</v>
      </c>
      <c r="R3" s="1176" t="s">
        <v>174</v>
      </c>
      <c r="U3" s="1790"/>
      <c r="V3" s="1790"/>
      <c r="W3" s="1790"/>
      <c r="X3" s="1791"/>
      <c r="Y3" s="1790"/>
      <c r="Z3" s="1790"/>
      <c r="AB3" s="780" t="s">
        <v>1</v>
      </c>
      <c r="AC3" s="781" t="s">
        <v>398</v>
      </c>
      <c r="AD3" s="1181" t="s">
        <v>1541</v>
      </c>
      <c r="AE3" s="782" t="s">
        <v>1542</v>
      </c>
      <c r="AG3" s="1803" t="s">
        <v>1</v>
      </c>
      <c r="AH3" s="1803" t="s">
        <v>1443</v>
      </c>
      <c r="AI3" s="1803" t="s">
        <v>3174</v>
      </c>
      <c r="AJ3" s="1803" t="s">
        <v>3175</v>
      </c>
    </row>
    <row r="4" spans="1:36" ht="54" customHeight="1">
      <c r="A4" s="1576" t="s">
        <v>834</v>
      </c>
      <c r="B4" s="1576" t="s">
        <v>835</v>
      </c>
      <c r="C4" s="1576" t="s">
        <v>836</v>
      </c>
      <c r="D4" s="1576"/>
      <c r="E4" s="1576"/>
      <c r="F4" s="1576" t="s">
        <v>837</v>
      </c>
      <c r="G4" s="1576"/>
      <c r="H4" s="1576"/>
      <c r="I4" s="1576" t="s">
        <v>838</v>
      </c>
      <c r="J4" s="1576"/>
      <c r="K4" s="1576"/>
      <c r="L4" s="1776" t="s">
        <v>156</v>
      </c>
      <c r="N4" s="22">
        <v>1</v>
      </c>
      <c r="O4" s="739" t="s">
        <v>1466</v>
      </c>
      <c r="P4" s="1179">
        <v>126</v>
      </c>
      <c r="Q4" s="289">
        <v>75000</v>
      </c>
      <c r="R4" s="289">
        <f>+P4*Q4</f>
        <v>9450000</v>
      </c>
      <c r="T4" s="1182" t="s">
        <v>1</v>
      </c>
      <c r="U4" s="1792" t="s">
        <v>2469</v>
      </c>
      <c r="V4" s="1793" t="s">
        <v>403</v>
      </c>
      <c r="W4" s="1794"/>
      <c r="X4" s="1795" t="s">
        <v>327</v>
      </c>
      <c r="Y4" s="1796" t="s">
        <v>3153</v>
      </c>
      <c r="Z4" s="1796" t="s">
        <v>3154</v>
      </c>
      <c r="AB4" s="1600" t="s">
        <v>1543</v>
      </c>
      <c r="AC4" s="1601"/>
      <c r="AD4" s="1601"/>
      <c r="AE4" s="1602"/>
      <c r="AG4" s="22">
        <v>1</v>
      </c>
      <c r="AH4" s="735" t="s">
        <v>3176</v>
      </c>
      <c r="AI4" s="1804">
        <v>143050000</v>
      </c>
      <c r="AJ4" s="1804">
        <v>85380000</v>
      </c>
    </row>
    <row r="5" spans="1:36" ht="57" customHeight="1">
      <c r="A5" s="1576"/>
      <c r="B5" s="1576"/>
      <c r="C5" s="1183" t="s">
        <v>839</v>
      </c>
      <c r="D5" s="1183" t="s">
        <v>1538</v>
      </c>
      <c r="E5" s="1183" t="s">
        <v>433</v>
      </c>
      <c r="F5" s="1183" t="s">
        <v>841</v>
      </c>
      <c r="G5" s="1183" t="s">
        <v>842</v>
      </c>
      <c r="H5" s="1183" t="s">
        <v>433</v>
      </c>
      <c r="I5" s="1183" t="s">
        <v>843</v>
      </c>
      <c r="J5" s="1183" t="s">
        <v>844</v>
      </c>
      <c r="K5" s="1183" t="s">
        <v>433</v>
      </c>
      <c r="L5" s="1777"/>
      <c r="N5" s="22">
        <f>+N4+1</f>
        <v>2</v>
      </c>
      <c r="O5" s="739" t="s">
        <v>1467</v>
      </c>
      <c r="P5" s="1179">
        <v>135</v>
      </c>
      <c r="Q5" s="289">
        <v>60000</v>
      </c>
      <c r="R5" s="289">
        <f t="shared" ref="R5:R17" si="0">+P5*Q5</f>
        <v>8100000</v>
      </c>
      <c r="T5" s="1179">
        <v>1</v>
      </c>
      <c r="U5" s="823" t="s">
        <v>1630</v>
      </c>
      <c r="V5" s="1797" t="s">
        <v>317</v>
      </c>
      <c r="W5" s="1798"/>
      <c r="X5" s="1799">
        <v>2000</v>
      </c>
      <c r="Y5" s="1800">
        <v>1650</v>
      </c>
      <c r="Z5" s="1800">
        <f>X5*Y5</f>
        <v>3300000</v>
      </c>
      <c r="AB5" s="1191">
        <v>1</v>
      </c>
      <c r="AC5" s="1189" t="s">
        <v>1544</v>
      </c>
      <c r="AD5" s="687" t="e">
        <f>+'[5]1.1'!AH29</f>
        <v>#REF!</v>
      </c>
      <c r="AE5" s="1598" t="s">
        <v>3161</v>
      </c>
      <c r="AG5" s="22">
        <v>2</v>
      </c>
      <c r="AH5" s="735" t="s">
        <v>3177</v>
      </c>
      <c r="AI5" s="792">
        <v>155114000</v>
      </c>
      <c r="AJ5" s="792">
        <f>'[6]ETT zarlaga'!AI24</f>
        <v>0</v>
      </c>
    </row>
    <row r="6" spans="1:36" ht="42.75" customHeight="1">
      <c r="A6" s="1592" t="s">
        <v>845</v>
      </c>
      <c r="B6" s="237" t="s">
        <v>1534</v>
      </c>
      <c r="C6" s="771">
        <v>30</v>
      </c>
      <c r="D6" s="771">
        <v>100000</v>
      </c>
      <c r="E6" s="774">
        <f t="shared" ref="E6:E13" si="1">+C6*D6</f>
        <v>3000000</v>
      </c>
      <c r="F6" s="1778">
        <v>90</v>
      </c>
      <c r="G6" s="1778">
        <v>90000</v>
      </c>
      <c r="H6" s="1779">
        <f>F6*G6</f>
        <v>8100000</v>
      </c>
      <c r="I6" s="1778">
        <v>15</v>
      </c>
      <c r="J6" s="1778">
        <v>50000</v>
      </c>
      <c r="K6" s="1779">
        <f>I6*J6</f>
        <v>750000</v>
      </c>
      <c r="L6" s="1779">
        <f>E6+H6+K6</f>
        <v>11850000</v>
      </c>
      <c r="N6" s="22">
        <f t="shared" ref="N6:N17" si="2">+N5+1</f>
        <v>3</v>
      </c>
      <c r="O6" s="739" t="s">
        <v>1468</v>
      </c>
      <c r="P6" s="1179">
        <v>326</v>
      </c>
      <c r="Q6" s="289">
        <v>56000</v>
      </c>
      <c r="R6" s="289">
        <f t="shared" si="0"/>
        <v>18256000</v>
      </c>
      <c r="T6" s="1179">
        <v>2</v>
      </c>
      <c r="U6" s="823" t="s">
        <v>1549</v>
      </c>
      <c r="V6" s="823" t="s">
        <v>1632</v>
      </c>
      <c r="W6" s="1179" t="s">
        <v>1785</v>
      </c>
      <c r="X6" s="1799">
        <v>2448</v>
      </c>
      <c r="Y6" s="1800">
        <v>10000</v>
      </c>
      <c r="Z6" s="1800">
        <f>X6*Y6</f>
        <v>24480000</v>
      </c>
      <c r="AB6" s="1191">
        <f>+AB5+1</f>
        <v>2</v>
      </c>
      <c r="AC6" s="95" t="s">
        <v>1546</v>
      </c>
      <c r="AD6" s="783" t="e">
        <f>'[5]1.2'!AM13</f>
        <v>#REF!</v>
      </c>
      <c r="AE6" s="1606"/>
      <c r="AG6" s="801"/>
      <c r="AH6" s="801" t="s">
        <v>450</v>
      </c>
      <c r="AI6" s="694">
        <f>SUM(AI4:AI5)</f>
        <v>298164000</v>
      </c>
      <c r="AJ6" s="694">
        <f>SUM(AJ4:AJ5)</f>
        <v>85380000</v>
      </c>
    </row>
    <row r="7" spans="1:36" ht="33.75" customHeight="1">
      <c r="A7" s="1780"/>
      <c r="B7" s="237" t="s">
        <v>1535</v>
      </c>
      <c r="C7" s="771">
        <v>20</v>
      </c>
      <c r="D7" s="771">
        <v>50000</v>
      </c>
      <c r="E7" s="774">
        <f t="shared" si="1"/>
        <v>1000000</v>
      </c>
      <c r="F7" s="1778">
        <v>250</v>
      </c>
      <c r="G7" s="1778">
        <v>45000</v>
      </c>
      <c r="H7" s="1779"/>
      <c r="I7" s="1778">
        <v>5</v>
      </c>
      <c r="J7" s="1778">
        <v>50000</v>
      </c>
      <c r="K7" s="1779">
        <f t="shared" ref="K7:K11" si="3">I7*J7</f>
        <v>250000</v>
      </c>
      <c r="L7" s="1779">
        <f t="shared" ref="L7:L13" si="4">E7+H7+K7</f>
        <v>1250000</v>
      </c>
      <c r="N7" s="729">
        <f t="shared" si="2"/>
        <v>4</v>
      </c>
      <c r="O7" s="739" t="s">
        <v>1469</v>
      </c>
      <c r="P7" s="1179">
        <v>173</v>
      </c>
      <c r="Q7" s="289">
        <v>55000</v>
      </c>
      <c r="R7" s="289">
        <f t="shared" si="0"/>
        <v>9515000</v>
      </c>
      <c r="T7" s="1179">
        <v>3</v>
      </c>
      <c r="U7" s="1801" t="s">
        <v>1550</v>
      </c>
      <c r="V7" s="823" t="s">
        <v>3155</v>
      </c>
      <c r="W7" s="1179" t="s">
        <v>317</v>
      </c>
      <c r="X7" s="1799">
        <v>50</v>
      </c>
      <c r="Y7" s="1800">
        <v>50000</v>
      </c>
      <c r="Z7" s="1800">
        <f>X7*Y7</f>
        <v>2500000</v>
      </c>
      <c r="AB7" s="579">
        <v>3</v>
      </c>
      <c r="AC7" s="793" t="s">
        <v>3162</v>
      </c>
      <c r="AD7" s="792" t="e">
        <f>'[5]1.3'!AG5</f>
        <v>#REF!</v>
      </c>
      <c r="AE7" s="1599"/>
    </row>
    <row r="8" spans="1:36" ht="33.75">
      <c r="A8" s="1780"/>
      <c r="B8" s="237" t="s">
        <v>3145</v>
      </c>
      <c r="C8" s="771">
        <v>250</v>
      </c>
      <c r="D8" s="771">
        <v>110000</v>
      </c>
      <c r="E8" s="774">
        <f t="shared" si="1"/>
        <v>27500000</v>
      </c>
      <c r="F8" s="771">
        <v>100</v>
      </c>
      <c r="G8" s="771">
        <v>100000</v>
      </c>
      <c r="H8" s="774">
        <f>F8*G8</f>
        <v>10000000</v>
      </c>
      <c r="I8" s="1778">
        <v>80</v>
      </c>
      <c r="J8" s="1778">
        <v>50000</v>
      </c>
      <c r="K8" s="1779">
        <f t="shared" si="3"/>
        <v>4000000</v>
      </c>
      <c r="L8" s="1779">
        <f t="shared" si="4"/>
        <v>41500000</v>
      </c>
      <c r="N8" s="22">
        <f t="shared" si="2"/>
        <v>5</v>
      </c>
      <c r="O8" s="739" t="s">
        <v>1470</v>
      </c>
      <c r="P8" s="1179">
        <v>6</v>
      </c>
      <c r="Q8" s="289">
        <v>90000</v>
      </c>
      <c r="R8" s="289">
        <f t="shared" si="0"/>
        <v>540000</v>
      </c>
      <c r="T8" s="1179">
        <v>4</v>
      </c>
      <c r="U8" s="1801"/>
      <c r="V8" s="823" t="s">
        <v>3156</v>
      </c>
      <c r="W8" s="1179" t="s">
        <v>317</v>
      </c>
      <c r="X8" s="1799">
        <v>970</v>
      </c>
      <c r="Y8" s="1800">
        <v>30000</v>
      </c>
      <c r="Z8" s="1800">
        <f>X8*Y8</f>
        <v>29100000</v>
      </c>
      <c r="AB8" s="578"/>
      <c r="AC8" s="1186" t="s">
        <v>284</v>
      </c>
      <c r="AD8" s="692" t="e">
        <f>SUM(AD5:AD7)</f>
        <v>#REF!</v>
      </c>
      <c r="AE8" s="785"/>
    </row>
    <row r="9" spans="1:36" ht="22.5" customHeight="1">
      <c r="A9" s="1593"/>
      <c r="B9" s="237" t="s">
        <v>3146</v>
      </c>
      <c r="C9" s="771">
        <v>200</v>
      </c>
      <c r="D9" s="771">
        <v>100000</v>
      </c>
      <c r="E9" s="774">
        <f t="shared" si="1"/>
        <v>20000000</v>
      </c>
      <c r="F9" s="771">
        <v>310</v>
      </c>
      <c r="G9" s="771">
        <v>90000</v>
      </c>
      <c r="H9" s="774"/>
      <c r="I9" s="1184">
        <v>250</v>
      </c>
      <c r="J9" s="1778">
        <v>50000</v>
      </c>
      <c r="K9" s="1779">
        <f t="shared" si="3"/>
        <v>12500000</v>
      </c>
      <c r="L9" s="1779">
        <f t="shared" si="4"/>
        <v>32500000</v>
      </c>
      <c r="N9" s="22">
        <f t="shared" si="2"/>
        <v>6</v>
      </c>
      <c r="O9" s="739" t="s">
        <v>1471</v>
      </c>
      <c r="P9" s="1179">
        <v>89</v>
      </c>
      <c r="Q9" s="289">
        <v>100000</v>
      </c>
      <c r="R9" s="289">
        <f t="shared" si="0"/>
        <v>8900000</v>
      </c>
      <c r="T9" s="1179">
        <v>5</v>
      </c>
      <c r="U9" s="823" t="s">
        <v>1565</v>
      </c>
      <c r="V9" s="1797" t="s">
        <v>3157</v>
      </c>
      <c r="W9" s="1798"/>
      <c r="X9" s="1799"/>
      <c r="Y9" s="1800"/>
      <c r="Z9" s="1800">
        <v>3000000</v>
      </c>
      <c r="AB9" s="1600" t="s">
        <v>1554</v>
      </c>
      <c r="AC9" s="1601"/>
      <c r="AD9" s="1601"/>
      <c r="AE9" s="1602"/>
    </row>
    <row r="10" spans="1:36" ht="57" customHeight="1">
      <c r="A10" s="1183" t="s">
        <v>850</v>
      </c>
      <c r="B10" s="763" t="s">
        <v>850</v>
      </c>
      <c r="C10" s="773">
        <v>20</v>
      </c>
      <c r="D10" s="771">
        <v>100000</v>
      </c>
      <c r="E10" s="774">
        <f t="shared" si="1"/>
        <v>2000000</v>
      </c>
      <c r="F10" s="771">
        <v>25</v>
      </c>
      <c r="G10" s="771">
        <v>90000</v>
      </c>
      <c r="H10" s="774">
        <f t="shared" ref="H10:H13" si="5">F10*G10</f>
        <v>2250000</v>
      </c>
      <c r="I10" s="1184">
        <v>0</v>
      </c>
      <c r="J10" s="1778">
        <v>50000</v>
      </c>
      <c r="K10" s="1779">
        <f t="shared" si="3"/>
        <v>0</v>
      </c>
      <c r="L10" s="1779">
        <f t="shared" si="4"/>
        <v>4250000</v>
      </c>
      <c r="N10" s="22">
        <f t="shared" si="2"/>
        <v>7</v>
      </c>
      <c r="O10" s="739" t="s">
        <v>1472</v>
      </c>
      <c r="P10" s="1179">
        <v>170</v>
      </c>
      <c r="Q10" s="289">
        <v>51000</v>
      </c>
      <c r="R10" s="289">
        <f t="shared" si="0"/>
        <v>8670000</v>
      </c>
      <c r="T10" s="1179">
        <v>6</v>
      </c>
      <c r="U10" s="823" t="s">
        <v>1566</v>
      </c>
      <c r="V10" s="1797" t="s">
        <v>3158</v>
      </c>
      <c r="W10" s="1798"/>
      <c r="X10" s="1799"/>
      <c r="Y10" s="1800"/>
      <c r="Z10" s="1800">
        <v>3000000</v>
      </c>
      <c r="AB10" s="1191">
        <v>1</v>
      </c>
      <c r="AC10" s="786" t="s">
        <v>3163</v>
      </c>
      <c r="AD10" s="687" t="e">
        <f>'[5]2.1'!AG22</f>
        <v>#REF!</v>
      </c>
      <c r="AE10" s="1598" t="s">
        <v>3164</v>
      </c>
    </row>
    <row r="11" spans="1:36" ht="42.75" customHeight="1">
      <c r="A11" s="1183" t="s">
        <v>851</v>
      </c>
      <c r="B11" s="237" t="s">
        <v>851</v>
      </c>
      <c r="C11" s="771">
        <v>350</v>
      </c>
      <c r="D11" s="771">
        <v>50000</v>
      </c>
      <c r="E11" s="774">
        <f t="shared" si="1"/>
        <v>17500000</v>
      </c>
      <c r="F11" s="771">
        <v>100</v>
      </c>
      <c r="G11" s="771">
        <v>45000</v>
      </c>
      <c r="H11" s="774">
        <f t="shared" si="5"/>
        <v>4500000</v>
      </c>
      <c r="I11" s="1184">
        <v>0</v>
      </c>
      <c r="J11" s="1778">
        <v>50000</v>
      </c>
      <c r="K11" s="1779">
        <f t="shared" si="3"/>
        <v>0</v>
      </c>
      <c r="L11" s="1779">
        <f t="shared" si="4"/>
        <v>22000000</v>
      </c>
      <c r="N11" s="22">
        <f t="shared" si="2"/>
        <v>8</v>
      </c>
      <c r="O11" s="739" t="s">
        <v>1473</v>
      </c>
      <c r="P11" s="1179">
        <v>119</v>
      </c>
      <c r="Q11" s="289">
        <v>84000</v>
      </c>
      <c r="R11" s="289">
        <f t="shared" si="0"/>
        <v>9996000</v>
      </c>
      <c r="T11" s="1179">
        <v>7</v>
      </c>
      <c r="U11" s="823" t="s">
        <v>1567</v>
      </c>
      <c r="V11" s="823"/>
      <c r="W11" s="823"/>
      <c r="X11" s="1799"/>
      <c r="Y11" s="1800"/>
      <c r="Z11" s="1800">
        <v>15000000</v>
      </c>
      <c r="AB11" s="1191">
        <v>2</v>
      </c>
      <c r="AC11" s="786" t="s">
        <v>3165</v>
      </c>
      <c r="AD11" s="687">
        <v>1500000</v>
      </c>
      <c r="AE11" s="1606"/>
    </row>
    <row r="12" spans="1:36" ht="25.5">
      <c r="A12" s="1576" t="s">
        <v>852</v>
      </c>
      <c r="B12" s="237" t="s">
        <v>1536</v>
      </c>
      <c r="C12" s="771">
        <v>30</v>
      </c>
      <c r="D12" s="771">
        <v>100000</v>
      </c>
      <c r="E12" s="774">
        <f t="shared" si="1"/>
        <v>3000000</v>
      </c>
      <c r="F12" s="771">
        <v>30</v>
      </c>
      <c r="G12" s="771">
        <v>90000</v>
      </c>
      <c r="H12" s="774">
        <f t="shared" si="5"/>
        <v>2700000</v>
      </c>
      <c r="I12" s="1778">
        <v>10</v>
      </c>
      <c r="J12" s="1778">
        <v>50000</v>
      </c>
      <c r="K12" s="1781">
        <f>I12*J12</f>
        <v>500000</v>
      </c>
      <c r="L12" s="1779">
        <f t="shared" si="4"/>
        <v>6200000</v>
      </c>
      <c r="N12" s="22">
        <f t="shared" si="2"/>
        <v>9</v>
      </c>
      <c r="O12" s="739" t="s">
        <v>1474</v>
      </c>
      <c r="P12" s="1179">
        <v>548</v>
      </c>
      <c r="Q12" s="289">
        <v>51000</v>
      </c>
      <c r="R12" s="289">
        <f t="shared" si="0"/>
        <v>27948000</v>
      </c>
      <c r="T12" s="1179">
        <v>8</v>
      </c>
      <c r="U12" s="823" t="s">
        <v>1570</v>
      </c>
      <c r="V12" s="823"/>
      <c r="W12" s="823"/>
      <c r="X12" s="1799"/>
      <c r="Y12" s="1800"/>
      <c r="Z12" s="1800">
        <v>5000000</v>
      </c>
      <c r="AB12" s="578"/>
      <c r="AC12" s="1186" t="s">
        <v>284</v>
      </c>
      <c r="AD12" s="692" t="e">
        <f>+AD10+AD11</f>
        <v>#REF!</v>
      </c>
      <c r="AE12" s="1599"/>
    </row>
    <row r="13" spans="1:36" ht="15" customHeight="1">
      <c r="A13" s="1576"/>
      <c r="B13" s="237" t="s">
        <v>854</v>
      </c>
      <c r="C13" s="771">
        <v>120</v>
      </c>
      <c r="D13" s="771">
        <v>100000</v>
      </c>
      <c r="E13" s="774">
        <f t="shared" si="1"/>
        <v>12000000</v>
      </c>
      <c r="F13" s="771">
        <v>100</v>
      </c>
      <c r="G13" s="771">
        <v>90000</v>
      </c>
      <c r="H13" s="774">
        <f t="shared" si="5"/>
        <v>9000000</v>
      </c>
      <c r="I13" s="1778">
        <v>50</v>
      </c>
      <c r="J13" s="1778">
        <v>50000</v>
      </c>
      <c r="K13" s="1781">
        <f>I13*J13</f>
        <v>2500000</v>
      </c>
      <c r="L13" s="1779">
        <f t="shared" si="4"/>
        <v>23500000</v>
      </c>
      <c r="N13" s="22">
        <f t="shared" si="2"/>
        <v>10</v>
      </c>
      <c r="O13" s="739" t="s">
        <v>1475</v>
      </c>
      <c r="P13" s="1179">
        <v>75</v>
      </c>
      <c r="Q13" s="289">
        <v>90000</v>
      </c>
      <c r="R13" s="289">
        <f t="shared" si="0"/>
        <v>6750000</v>
      </c>
      <c r="T13" s="1179"/>
      <c r="U13" s="1792" t="s">
        <v>450</v>
      </c>
      <c r="V13" s="823"/>
      <c r="W13" s="823"/>
      <c r="X13" s="1799"/>
      <c r="Y13" s="823"/>
      <c r="Z13" s="1802">
        <f>SUM(Z5:Z12)</f>
        <v>85380000</v>
      </c>
      <c r="AB13" s="1607" t="s">
        <v>1556</v>
      </c>
      <c r="AC13" s="1608"/>
      <c r="AD13" s="1608"/>
      <c r="AE13" s="1609"/>
    </row>
    <row r="14" spans="1:36" ht="57.75" customHeight="1">
      <c r="A14" s="1183" t="s">
        <v>450</v>
      </c>
      <c r="B14" s="237"/>
      <c r="C14" s="774">
        <f>+SUM(C6:C13)</f>
        <v>1020</v>
      </c>
      <c r="D14" s="771"/>
      <c r="E14" s="774">
        <f>SUM(E6:E13)</f>
        <v>86000000</v>
      </c>
      <c r="F14" s="774">
        <f>SUM(F6:F13)</f>
        <v>1005</v>
      </c>
      <c r="G14" s="771"/>
      <c r="H14" s="774">
        <f>SUM(H6:H13)</f>
        <v>36550000</v>
      </c>
      <c r="I14" s="774">
        <f t="shared" ref="I14" si="6">+SUM(I6:I13)</f>
        <v>410</v>
      </c>
      <c r="J14" s="771"/>
      <c r="K14" s="774">
        <f>SUM(K6:K13)</f>
        <v>20500000</v>
      </c>
      <c r="L14" s="774">
        <f>SUM(L6:L13)</f>
        <v>143050000</v>
      </c>
      <c r="N14" s="22">
        <f t="shared" si="2"/>
        <v>11</v>
      </c>
      <c r="O14" s="739" t="s">
        <v>1476</v>
      </c>
      <c r="P14" s="1179">
        <v>384</v>
      </c>
      <c r="Q14" s="289">
        <v>61000</v>
      </c>
      <c r="R14" s="289">
        <f t="shared" si="0"/>
        <v>23424000</v>
      </c>
      <c r="AB14" s="1190">
        <v>1</v>
      </c>
      <c r="AC14" s="790" t="s">
        <v>3166</v>
      </c>
      <c r="AD14" s="791" t="e">
        <f>+'[5]3.1'!AH16</f>
        <v>#REF!</v>
      </c>
      <c r="AE14" s="1598" t="s">
        <v>1558</v>
      </c>
    </row>
    <row r="15" spans="1:36" ht="72" customHeight="1">
      <c r="A15" s="1185"/>
      <c r="B15" s="749"/>
      <c r="C15" s="775"/>
      <c r="D15" s="1782"/>
      <c r="E15" s="775"/>
      <c r="F15" s="775"/>
      <c r="G15" s="1782"/>
      <c r="H15" s="775"/>
      <c r="I15" s="775"/>
      <c r="J15" s="1782"/>
      <c r="K15" s="775"/>
      <c r="L15" s="775"/>
      <c r="N15" s="22">
        <f t="shared" si="2"/>
        <v>12</v>
      </c>
      <c r="O15" s="739" t="s">
        <v>1477</v>
      </c>
      <c r="P15" s="1179">
        <v>467</v>
      </c>
      <c r="Q15" s="289">
        <v>30000</v>
      </c>
      <c r="R15" s="289">
        <f t="shared" si="0"/>
        <v>14010000</v>
      </c>
      <c r="T15" s="753"/>
      <c r="U15"/>
      <c r="V15"/>
      <c r="W15"/>
      <c r="X15"/>
      <c r="Y15"/>
      <c r="Z15"/>
      <c r="AB15" s="1191">
        <v>2</v>
      </c>
      <c r="AC15" s="1189" t="s">
        <v>3167</v>
      </c>
      <c r="AD15" s="783" t="e">
        <f>+'[5]3.2'!AD201</f>
        <v>#REF!</v>
      </c>
      <c r="AE15" s="1599"/>
    </row>
    <row r="16" spans="1:36">
      <c r="B16" s="1783" t="s">
        <v>3147</v>
      </c>
      <c r="C16" s="1783"/>
      <c r="D16" s="1783"/>
      <c r="E16" s="1783"/>
      <c r="F16" s="1783"/>
      <c r="G16" s="1783"/>
      <c r="H16" s="1783"/>
      <c r="I16" s="1783"/>
      <c r="N16" s="22">
        <f t="shared" si="2"/>
        <v>13</v>
      </c>
      <c r="O16" s="739" t="s">
        <v>1478</v>
      </c>
      <c r="P16" s="1179">
        <v>208</v>
      </c>
      <c r="Q16" s="289">
        <v>15000</v>
      </c>
      <c r="R16" s="289">
        <f t="shared" si="0"/>
        <v>3120000</v>
      </c>
      <c r="T16" s="753"/>
      <c r="X16" s="1784"/>
      <c r="AB16" s="578"/>
      <c r="AC16" s="1186" t="s">
        <v>284</v>
      </c>
      <c r="AD16" s="692" t="e">
        <f>+AD14+AD15</f>
        <v>#REF!</v>
      </c>
      <c r="AE16" s="785"/>
    </row>
    <row r="17" spans="1:31" ht="15" customHeight="1">
      <c r="B17" s="1784"/>
      <c r="C17" s="1784"/>
      <c r="D17" s="1784"/>
      <c r="E17" s="1784"/>
      <c r="F17" s="1784"/>
      <c r="G17" s="1784"/>
      <c r="H17" s="1784"/>
      <c r="I17" s="1784"/>
      <c r="K17" s="1785"/>
      <c r="N17" s="22">
        <f t="shared" si="2"/>
        <v>14</v>
      </c>
      <c r="O17" s="739" t="s">
        <v>1479</v>
      </c>
      <c r="P17" s="1179">
        <v>117</v>
      </c>
      <c r="Q17" s="289">
        <v>55000</v>
      </c>
      <c r="R17" s="289">
        <f t="shared" si="0"/>
        <v>6435000</v>
      </c>
      <c r="T17" s="753"/>
      <c r="U17"/>
      <c r="V17"/>
      <c r="W17"/>
      <c r="X17"/>
      <c r="Y17"/>
      <c r="Z17"/>
      <c r="AB17" s="1600" t="s">
        <v>1560</v>
      </c>
      <c r="AC17" s="1601"/>
      <c r="AD17" s="1601"/>
      <c r="AE17" s="1602"/>
    </row>
    <row r="18" spans="1:31" ht="99.75">
      <c r="B18" s="1783" t="s">
        <v>3148</v>
      </c>
      <c r="C18" s="1783"/>
      <c r="D18" s="1783"/>
      <c r="E18" s="1783"/>
      <c r="F18" s="1783"/>
      <c r="G18" s="1783"/>
      <c r="H18" s="1783"/>
      <c r="I18" s="1783"/>
      <c r="N18" s="742"/>
      <c r="O18" s="743" t="s">
        <v>390</v>
      </c>
      <c r="P18" s="744">
        <f>SUM(P4:P17)</f>
        <v>2943</v>
      </c>
      <c r="Q18" s="1175"/>
      <c r="R18" s="745">
        <f>SUM(R4:R17)</f>
        <v>155114000</v>
      </c>
      <c r="AB18" s="1191">
        <v>1</v>
      </c>
      <c r="AC18" s="1189" t="s">
        <v>1561</v>
      </c>
      <c r="AD18" s="687" t="e">
        <f>'[5]4.1'!AG18+'[5]4.1'!AH36</f>
        <v>#REF!</v>
      </c>
      <c r="AE18" s="1191" t="s">
        <v>3168</v>
      </c>
    </row>
    <row r="19" spans="1:31" ht="42.75">
      <c r="A19" s="1185"/>
      <c r="B19" s="749"/>
      <c r="C19" s="775"/>
      <c r="D19" s="1782"/>
      <c r="E19" s="775"/>
      <c r="F19" s="775"/>
      <c r="G19" s="1782"/>
      <c r="H19" s="775"/>
      <c r="I19" s="775"/>
      <c r="J19" s="1782"/>
      <c r="K19" s="775"/>
      <c r="L19" s="775"/>
      <c r="AB19" s="1191">
        <f>+AB18+1</f>
        <v>2</v>
      </c>
      <c r="AC19" s="95" t="s">
        <v>3169</v>
      </c>
      <c r="AD19" s="792" t="e">
        <f>'[5]4.2'!AG22+'[5]4.2'!AG43+'[5]4.2'!AG63</f>
        <v>#REF!</v>
      </c>
      <c r="AE19" s="1178" t="s">
        <v>1564</v>
      </c>
    </row>
    <row r="20" spans="1:31">
      <c r="N20" s="580" t="s">
        <v>3151</v>
      </c>
      <c r="O20" s="699"/>
      <c r="P20" s="700"/>
      <c r="Q20" s="1787"/>
      <c r="AB20" s="1191"/>
      <c r="AC20" s="793"/>
      <c r="AD20" s="794" t="e">
        <f>SUM(AD18:AD19)</f>
        <v>#REF!</v>
      </c>
      <c r="AE20" s="793"/>
    </row>
    <row r="21" spans="1:31" ht="15" customHeight="1">
      <c r="AB21" s="1600" t="s">
        <v>1569</v>
      </c>
      <c r="AC21" s="1601"/>
      <c r="AD21" s="1601"/>
      <c r="AE21" s="1602"/>
    </row>
    <row r="22" spans="1:31" ht="42.75">
      <c r="AB22" s="1191">
        <v>5</v>
      </c>
      <c r="AC22" s="793" t="s">
        <v>3170</v>
      </c>
      <c r="AD22" s="792">
        <v>5000000</v>
      </c>
      <c r="AE22" s="793"/>
    </row>
    <row r="23" spans="1:31">
      <c r="AB23" s="578"/>
      <c r="AC23" s="1186" t="s">
        <v>284</v>
      </c>
      <c r="AD23" s="692">
        <f>+AD22</f>
        <v>5000000</v>
      </c>
      <c r="AE23" s="785"/>
    </row>
    <row r="24" spans="1:31">
      <c r="AB24" s="578"/>
      <c r="AC24" s="1186" t="s">
        <v>1457</v>
      </c>
      <c r="AD24" s="694" t="e">
        <f>+AD8+AD12+AD16+AD20+AD23</f>
        <v>#REF!</v>
      </c>
      <c r="AE24" s="795"/>
    </row>
    <row r="26" spans="1:31">
      <c r="AC26" s="699" t="s">
        <v>1458</v>
      </c>
      <c r="AD26" s="700" t="s">
        <v>3171</v>
      </c>
    </row>
    <row r="28" spans="1:31">
      <c r="AC28" s="699" t="s">
        <v>1460</v>
      </c>
      <c r="AD28" s="700" t="s">
        <v>3172</v>
      </c>
    </row>
  </sheetData>
  <mergeCells count="28">
    <mergeCell ref="AB13:AE13"/>
    <mergeCell ref="AE14:AE15"/>
    <mergeCell ref="AB17:AE17"/>
    <mergeCell ref="AB21:AE21"/>
    <mergeCell ref="AG1:AJ1"/>
    <mergeCell ref="V10:W10"/>
    <mergeCell ref="AB1:AE1"/>
    <mergeCell ref="AB4:AE4"/>
    <mergeCell ref="AE5:AE7"/>
    <mergeCell ref="AB9:AE9"/>
    <mergeCell ref="AE10:AE12"/>
    <mergeCell ref="A6:A9"/>
    <mergeCell ref="A12:A13"/>
    <mergeCell ref="B16:I16"/>
    <mergeCell ref="B18:I18"/>
    <mergeCell ref="N1:R1"/>
    <mergeCell ref="T2:Z2"/>
    <mergeCell ref="V4:W4"/>
    <mergeCell ref="V5:W5"/>
    <mergeCell ref="U7:U8"/>
    <mergeCell ref="V9:W9"/>
    <mergeCell ref="A2:L2"/>
    <mergeCell ref="A4:A5"/>
    <mergeCell ref="B4:B5"/>
    <mergeCell ref="C4:E4"/>
    <mergeCell ref="F4:H4"/>
    <mergeCell ref="I4:K4"/>
    <mergeCell ref="L4:L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workbookViewId="0">
      <selection activeCell="AB5" sqref="AB5"/>
    </sheetView>
  </sheetViews>
  <sheetFormatPr defaultRowHeight="15"/>
  <cols>
    <col min="1" max="1" width="4.85546875" style="580" customWidth="1"/>
    <col min="2" max="2" width="51.28515625" style="580" bestFit="1" customWidth="1"/>
    <col min="3" max="3" width="21.42578125" style="580" bestFit="1" customWidth="1"/>
    <col min="4" max="4" width="13.28515625" style="580" bestFit="1" customWidth="1"/>
    <col min="5" max="5" width="33" style="580" bestFit="1" customWidth="1"/>
    <col min="6" max="6" width="10.140625" style="580" bestFit="1" customWidth="1"/>
    <col min="7" max="8" width="9.140625" style="580"/>
    <col min="9" max="9" width="4.5703125" style="580" bestFit="1" customWidth="1"/>
    <col min="10" max="10" width="30" style="580" bestFit="1" customWidth="1"/>
    <col min="11" max="11" width="36.5703125" style="580" customWidth="1"/>
    <col min="12" max="12" width="37.140625" style="580" customWidth="1"/>
    <col min="13" max="13" width="13.140625" style="580" bestFit="1" customWidth="1"/>
    <col min="14" max="14" width="9" style="580" bestFit="1" customWidth="1"/>
    <col min="15" max="15" width="18.5703125" style="580" bestFit="1" customWidth="1"/>
    <col min="16" max="16" width="9.140625" style="580"/>
    <col min="17" max="17" width="4.140625" customWidth="1"/>
    <col min="18" max="18" width="30.28515625" customWidth="1"/>
    <col min="19" max="19" width="12.28515625" customWidth="1"/>
    <col min="20" max="20" width="40.7109375" customWidth="1"/>
    <col min="21" max="21" width="10.7109375" style="436" customWidth="1"/>
    <col min="22" max="22" width="12.85546875" style="436" bestFit="1" customWidth="1"/>
    <col min="23" max="23" width="15.42578125" style="436" customWidth="1"/>
    <col min="24" max="24" width="9.140625" style="580"/>
    <col min="25" max="25" width="6" customWidth="1"/>
    <col min="26" max="26" width="20.5703125" customWidth="1"/>
    <col min="27" max="27" width="29.85546875" customWidth="1"/>
    <col min="28" max="28" width="10.42578125" customWidth="1"/>
    <col min="29" max="29" width="11.7109375" bestFit="1" customWidth="1"/>
    <col min="30" max="30" width="19.140625" bestFit="1" customWidth="1"/>
    <col min="31" max="16384" width="9.140625" style="580"/>
  </cols>
  <sheetData>
    <row r="1" spans="1:30">
      <c r="A1" s="1257" t="s">
        <v>2960</v>
      </c>
      <c r="B1" s="1257"/>
      <c r="C1" s="1257"/>
      <c r="D1" s="1257"/>
      <c r="E1" s="1257"/>
      <c r="F1" s="1257"/>
      <c r="I1" s="1250" t="s">
        <v>2977</v>
      </c>
      <c r="J1" s="1250"/>
      <c r="K1" s="1250"/>
      <c r="L1" s="1250"/>
      <c r="M1" s="1250"/>
      <c r="N1" s="1250"/>
      <c r="O1" s="1250"/>
      <c r="Q1" s="1250" t="s">
        <v>3042</v>
      </c>
      <c r="R1" s="1250"/>
      <c r="S1" s="1250"/>
      <c r="T1" s="1250"/>
      <c r="U1" s="1250"/>
      <c r="V1" s="1250"/>
      <c r="W1" s="1250"/>
      <c r="Y1" s="1250" t="s">
        <v>3062</v>
      </c>
      <c r="Z1" s="1250"/>
      <c r="AA1" s="1250"/>
      <c r="AB1" s="1250"/>
      <c r="AC1" s="1250"/>
      <c r="AD1" s="1250"/>
    </row>
    <row r="2" spans="1:30">
      <c r="A2" s="1193" t="s">
        <v>1</v>
      </c>
      <c r="B2" s="1193" t="s">
        <v>398</v>
      </c>
      <c r="C2" s="1193" t="s">
        <v>403</v>
      </c>
      <c r="D2" s="1193" t="s">
        <v>327</v>
      </c>
      <c r="E2" s="1193" t="s">
        <v>404</v>
      </c>
      <c r="F2" s="1193" t="s">
        <v>284</v>
      </c>
      <c r="I2" s="1251" t="s">
        <v>951</v>
      </c>
      <c r="J2" s="1251" t="s">
        <v>2978</v>
      </c>
      <c r="K2" s="1251" t="s">
        <v>636</v>
      </c>
      <c r="L2" s="1251" t="s">
        <v>2979</v>
      </c>
      <c r="M2" s="1251" t="s">
        <v>2980</v>
      </c>
      <c r="N2" s="1202" t="s">
        <v>2435</v>
      </c>
      <c r="O2" s="1263" t="s">
        <v>1813</v>
      </c>
      <c r="Q2" s="1251" t="s">
        <v>951</v>
      </c>
      <c r="R2" s="1251" t="s">
        <v>3043</v>
      </c>
      <c r="S2" s="1251" t="s">
        <v>636</v>
      </c>
      <c r="T2" s="1251" t="s">
        <v>2979</v>
      </c>
      <c r="U2" s="1254" t="s">
        <v>2980</v>
      </c>
      <c r="V2" s="1207" t="s">
        <v>2435</v>
      </c>
      <c r="W2" s="1255" t="s">
        <v>1813</v>
      </c>
      <c r="Y2" s="1251" t="s">
        <v>951</v>
      </c>
      <c r="Z2" s="1252" t="s">
        <v>3063</v>
      </c>
      <c r="AA2" s="1251" t="s">
        <v>2979</v>
      </c>
      <c r="AB2" s="1254" t="s">
        <v>315</v>
      </c>
      <c r="AC2" s="1207" t="s">
        <v>2435</v>
      </c>
      <c r="AD2" s="1255" t="s">
        <v>1813</v>
      </c>
    </row>
    <row r="3" spans="1:30" ht="28.5">
      <c r="A3" s="579">
        <v>1</v>
      </c>
      <c r="B3" s="1194" t="s">
        <v>2961</v>
      </c>
      <c r="C3" s="1195" t="s">
        <v>317</v>
      </c>
      <c r="D3" s="1196">
        <v>160</v>
      </c>
      <c r="E3" s="1196">
        <v>5000</v>
      </c>
      <c r="F3" s="1196">
        <f>160*5000</f>
        <v>800000</v>
      </c>
      <c r="I3" s="1251"/>
      <c r="J3" s="1251"/>
      <c r="K3" s="1251"/>
      <c r="L3" s="1251"/>
      <c r="M3" s="1251"/>
      <c r="N3" s="1202" t="s">
        <v>2981</v>
      </c>
      <c r="O3" s="1263"/>
      <c r="Q3" s="1251"/>
      <c r="R3" s="1251"/>
      <c r="S3" s="1251"/>
      <c r="T3" s="1251"/>
      <c r="U3" s="1254"/>
      <c r="V3" s="1207" t="s">
        <v>2981</v>
      </c>
      <c r="W3" s="1255"/>
      <c r="Y3" s="1251"/>
      <c r="Z3" s="1253"/>
      <c r="AA3" s="1251"/>
      <c r="AB3" s="1254"/>
      <c r="AC3" s="1207" t="s">
        <v>2981</v>
      </c>
      <c r="AD3" s="1255"/>
    </row>
    <row r="4" spans="1:30" ht="214.5">
      <c r="A4" s="579">
        <v>2</v>
      </c>
      <c r="B4" s="1194" t="s">
        <v>2962</v>
      </c>
      <c r="C4" s="1195" t="s">
        <v>317</v>
      </c>
      <c r="D4" s="1196">
        <v>600</v>
      </c>
      <c r="E4" s="1197" t="s">
        <v>2963</v>
      </c>
      <c r="F4" s="1196">
        <f>12000000+1500000</f>
        <v>13500000</v>
      </c>
      <c r="I4" s="1203">
        <v>1</v>
      </c>
      <c r="J4" s="1077" t="s">
        <v>2982</v>
      </c>
      <c r="K4" s="1077" t="s">
        <v>2983</v>
      </c>
      <c r="L4" s="1077" t="s">
        <v>2984</v>
      </c>
      <c r="M4" s="1078">
        <v>2</v>
      </c>
      <c r="N4" s="1204">
        <v>2750000</v>
      </c>
      <c r="O4" s="1078">
        <f>M4*N4</f>
        <v>5500000</v>
      </c>
      <c r="Q4" s="95">
        <v>1</v>
      </c>
      <c r="R4" s="95" t="s">
        <v>3044</v>
      </c>
      <c r="S4" s="95" t="s">
        <v>3045</v>
      </c>
      <c r="T4" s="1208" t="s">
        <v>3046</v>
      </c>
      <c r="U4" s="93">
        <v>12</v>
      </c>
      <c r="V4" s="93">
        <v>670000</v>
      </c>
      <c r="W4" s="93">
        <f>U4*V4</f>
        <v>8040000</v>
      </c>
      <c r="Y4" s="95">
        <v>1</v>
      </c>
      <c r="Z4" s="95" t="s">
        <v>3064</v>
      </c>
      <c r="AA4" s="1210" t="s">
        <v>3065</v>
      </c>
      <c r="AB4" s="93">
        <v>1</v>
      </c>
      <c r="AC4" s="1211">
        <v>1638000</v>
      </c>
      <c r="AD4" s="1211">
        <v>1638000</v>
      </c>
    </row>
    <row r="5" spans="1:30" ht="57">
      <c r="A5" s="579">
        <v>3</v>
      </c>
      <c r="B5" s="1194" t="s">
        <v>510</v>
      </c>
      <c r="C5" s="1195" t="s">
        <v>317</v>
      </c>
      <c r="D5" s="1196">
        <v>500</v>
      </c>
      <c r="E5" s="1196">
        <v>2500</v>
      </c>
      <c r="F5" s="1196">
        <f>500*2500</f>
        <v>1250000</v>
      </c>
      <c r="I5" s="1203">
        <v>2</v>
      </c>
      <c r="J5" s="1077" t="s">
        <v>2985</v>
      </c>
      <c r="K5" s="1077" t="s">
        <v>2986</v>
      </c>
      <c r="L5" s="1077" t="s">
        <v>2987</v>
      </c>
      <c r="M5" s="1078">
        <v>1</v>
      </c>
      <c r="N5" s="1204">
        <v>1557000</v>
      </c>
      <c r="O5" s="1078">
        <f t="shared" ref="O5:O6" si="0">M5*N5</f>
        <v>1557000</v>
      </c>
      <c r="Q5" s="95">
        <v>2</v>
      </c>
      <c r="R5" s="95" t="s">
        <v>3047</v>
      </c>
      <c r="S5" s="95" t="s">
        <v>3048</v>
      </c>
      <c r="T5" s="1208" t="s">
        <v>3049</v>
      </c>
      <c r="U5" s="93">
        <v>12</v>
      </c>
      <c r="V5" s="93">
        <v>330000</v>
      </c>
      <c r="W5" s="93">
        <f t="shared" ref="W5:W7" si="1">U5*V5</f>
        <v>3960000</v>
      </c>
      <c r="AD5" s="1212"/>
    </row>
    <row r="6" spans="1:30" ht="42.75">
      <c r="A6" s="579">
        <v>4</v>
      </c>
      <c r="B6" s="1198" t="s">
        <v>511</v>
      </c>
      <c r="C6" s="1195" t="s">
        <v>317</v>
      </c>
      <c r="D6" s="1196">
        <v>25</v>
      </c>
      <c r="E6" s="1196">
        <v>10000</v>
      </c>
      <c r="F6" s="1196">
        <f>25*10000</f>
        <v>250000</v>
      </c>
      <c r="I6" s="1203">
        <v>3</v>
      </c>
      <c r="J6" s="1077" t="s">
        <v>2988</v>
      </c>
      <c r="K6" s="1077" t="s">
        <v>2989</v>
      </c>
      <c r="L6" s="1077" t="s">
        <v>2990</v>
      </c>
      <c r="M6" s="1078">
        <v>1</v>
      </c>
      <c r="N6" s="1204">
        <v>150000</v>
      </c>
      <c r="O6" s="1078">
        <f t="shared" si="0"/>
        <v>150000</v>
      </c>
      <c r="Q6" s="95">
        <v>3</v>
      </c>
      <c r="R6" s="95" t="s">
        <v>3050</v>
      </c>
      <c r="S6" s="95" t="s">
        <v>3051</v>
      </c>
      <c r="T6" s="1208" t="s">
        <v>3052</v>
      </c>
      <c r="U6" s="93">
        <v>70</v>
      </c>
      <c r="V6" s="93">
        <v>60720</v>
      </c>
      <c r="W6" s="93">
        <f t="shared" si="1"/>
        <v>4250400</v>
      </c>
    </row>
    <row r="7" spans="1:30" ht="99.75">
      <c r="A7" s="579">
        <v>5</v>
      </c>
      <c r="B7" s="1194" t="s">
        <v>2964</v>
      </c>
      <c r="C7" s="1195" t="s">
        <v>317</v>
      </c>
      <c r="D7" s="1196">
        <v>100</v>
      </c>
      <c r="E7" s="1196">
        <v>12000</v>
      </c>
      <c r="F7" s="1196">
        <v>1200000</v>
      </c>
      <c r="I7" s="1203">
        <v>4</v>
      </c>
      <c r="J7" s="1077" t="s">
        <v>2991</v>
      </c>
      <c r="K7" s="1077" t="s">
        <v>2992</v>
      </c>
      <c r="L7" s="1077" t="s">
        <v>2993</v>
      </c>
      <c r="M7" s="1078">
        <v>1</v>
      </c>
      <c r="N7" s="1204">
        <v>4950000</v>
      </c>
      <c r="O7" s="1078">
        <f>M7*N7</f>
        <v>4950000</v>
      </c>
      <c r="Q7" s="95">
        <v>4</v>
      </c>
      <c r="R7" s="95" t="s">
        <v>3053</v>
      </c>
      <c r="S7" s="95" t="s">
        <v>3054</v>
      </c>
      <c r="T7" s="1208" t="s">
        <v>3055</v>
      </c>
      <c r="U7" s="93">
        <v>1</v>
      </c>
      <c r="V7" s="93">
        <v>15000000</v>
      </c>
      <c r="W7" s="93">
        <f t="shared" si="1"/>
        <v>15000000</v>
      </c>
    </row>
    <row r="8" spans="1:30" ht="42.75">
      <c r="A8" s="579"/>
      <c r="B8" s="1258" t="s">
        <v>156</v>
      </c>
      <c r="C8" s="1259"/>
      <c r="D8" s="1259"/>
      <c r="E8" s="1260"/>
      <c r="F8" s="1199">
        <f>SUM(F3:F7)</f>
        <v>17000000</v>
      </c>
      <c r="I8" s="1203">
        <v>5</v>
      </c>
      <c r="J8" s="1077" t="s">
        <v>2994</v>
      </c>
      <c r="K8" s="1077" t="s">
        <v>2995</v>
      </c>
      <c r="L8" s="1077" t="s">
        <v>2996</v>
      </c>
      <c r="M8" s="1078">
        <v>5</v>
      </c>
      <c r="N8" s="1204">
        <v>2500000</v>
      </c>
      <c r="O8" s="1078">
        <f>M8*N8</f>
        <v>12500000</v>
      </c>
      <c r="Q8" s="95">
        <v>5</v>
      </c>
      <c r="R8" s="1209" t="s">
        <v>3056</v>
      </c>
      <c r="S8" s="95" t="s">
        <v>3057</v>
      </c>
      <c r="T8" s="1208" t="s">
        <v>3058</v>
      </c>
      <c r="U8" s="93">
        <v>1</v>
      </c>
      <c r="V8" s="93">
        <v>68000</v>
      </c>
      <c r="W8" s="93">
        <f>U8*V8</f>
        <v>68000</v>
      </c>
    </row>
    <row r="9" spans="1:30" ht="57">
      <c r="A9" s="579">
        <v>6</v>
      </c>
      <c r="B9" s="1198" t="s">
        <v>515</v>
      </c>
      <c r="C9" s="1198" t="s">
        <v>2965</v>
      </c>
      <c r="D9" s="1197" t="s">
        <v>2966</v>
      </c>
      <c r="E9" s="1197" t="s">
        <v>2967</v>
      </c>
      <c r="F9" s="1196" t="s">
        <v>2968</v>
      </c>
      <c r="I9" s="1203">
        <v>6</v>
      </c>
      <c r="J9" s="1077" t="s">
        <v>2997</v>
      </c>
      <c r="K9" s="1077" t="s">
        <v>2998</v>
      </c>
      <c r="L9" s="1205" t="s">
        <v>2999</v>
      </c>
      <c r="M9" s="1078">
        <v>1</v>
      </c>
      <c r="N9" s="1204">
        <v>850000</v>
      </c>
      <c r="O9" s="1078">
        <f>M9*N9</f>
        <v>850000</v>
      </c>
      <c r="Q9" s="1209">
        <v>6</v>
      </c>
      <c r="R9" s="95" t="s">
        <v>3059</v>
      </c>
      <c r="S9" s="1208" t="s">
        <v>3060</v>
      </c>
      <c r="T9" s="93" t="s">
        <v>3061</v>
      </c>
      <c r="U9" s="93">
        <v>1</v>
      </c>
      <c r="V9" s="93">
        <v>280000</v>
      </c>
      <c r="W9" s="1209">
        <f>U9*V9</f>
        <v>280000</v>
      </c>
    </row>
    <row r="10" spans="1:30" ht="57">
      <c r="A10" s="579">
        <v>7</v>
      </c>
      <c r="B10" s="1198" t="s">
        <v>2969</v>
      </c>
      <c r="C10" s="1195" t="s">
        <v>317</v>
      </c>
      <c r="D10" s="1196">
        <v>2357</v>
      </c>
      <c r="E10" s="1196">
        <v>14000</v>
      </c>
      <c r="F10" s="1196">
        <f>D10*E10</f>
        <v>32998000</v>
      </c>
      <c r="I10" s="1203">
        <v>7</v>
      </c>
      <c r="J10" s="1077" t="s">
        <v>3000</v>
      </c>
      <c r="K10" s="1077" t="s">
        <v>3001</v>
      </c>
      <c r="L10" s="1205" t="s">
        <v>3002</v>
      </c>
      <c r="M10" s="1078">
        <v>2</v>
      </c>
      <c r="N10" s="1204">
        <v>350000</v>
      </c>
      <c r="O10" s="1078">
        <f t="shared" ref="O10:O28" si="2">M10*N10</f>
        <v>700000</v>
      </c>
      <c r="Q10" s="1256"/>
      <c r="R10" s="1256"/>
      <c r="S10" s="1256"/>
      <c r="T10" s="1256"/>
      <c r="U10" s="1256"/>
      <c r="V10" s="1256"/>
      <c r="W10" s="1207">
        <f>SUM(W4:W9)</f>
        <v>31598400</v>
      </c>
    </row>
    <row r="11" spans="1:30" ht="42.75">
      <c r="A11" s="579">
        <v>8</v>
      </c>
      <c r="B11" s="1198" t="s">
        <v>2970</v>
      </c>
      <c r="C11" s="1195" t="s">
        <v>2971</v>
      </c>
      <c r="D11" s="1197" t="s">
        <v>2972</v>
      </c>
      <c r="E11" s="1197" t="s">
        <v>2973</v>
      </c>
      <c r="F11" s="1196">
        <v>18303000</v>
      </c>
      <c r="I11" s="1203">
        <v>8</v>
      </c>
      <c r="J11" s="1077" t="s">
        <v>3003</v>
      </c>
      <c r="K11" s="1077" t="s">
        <v>3004</v>
      </c>
      <c r="L11" s="1205" t="s">
        <v>3005</v>
      </c>
      <c r="M11" s="1078">
        <v>2</v>
      </c>
      <c r="N11" s="1204">
        <v>75000</v>
      </c>
      <c r="O11" s="1078">
        <f t="shared" si="2"/>
        <v>150000</v>
      </c>
      <c r="Q11" s="230"/>
    </row>
    <row r="12" spans="1:30" ht="57">
      <c r="A12" s="579">
        <v>9</v>
      </c>
      <c r="B12" s="1198" t="s">
        <v>2974</v>
      </c>
      <c r="C12" s="1198" t="s">
        <v>2975</v>
      </c>
      <c r="D12" s="1196">
        <v>500</v>
      </c>
      <c r="E12" s="1197" t="s">
        <v>2976</v>
      </c>
      <c r="F12" s="1196">
        <f>600000+500000+1400000</f>
        <v>2500000</v>
      </c>
      <c r="I12" s="1203">
        <v>9</v>
      </c>
      <c r="J12" s="1077" t="s">
        <v>3006</v>
      </c>
      <c r="K12" s="1077" t="s">
        <v>3007</v>
      </c>
      <c r="L12" s="1205" t="s">
        <v>3008</v>
      </c>
      <c r="M12" s="1078">
        <v>2</v>
      </c>
      <c r="N12" s="1204">
        <v>195000</v>
      </c>
      <c r="O12" s="1078">
        <f t="shared" si="2"/>
        <v>390000</v>
      </c>
    </row>
    <row r="13" spans="1:30" ht="71.25">
      <c r="A13" s="1261" t="s">
        <v>410</v>
      </c>
      <c r="B13" s="1262"/>
      <c r="C13" s="1200"/>
      <c r="D13" s="1200"/>
      <c r="E13" s="1200"/>
      <c r="F13" s="1201">
        <f>SUM(F8:F12)</f>
        <v>70801000</v>
      </c>
      <c r="I13" s="1203">
        <v>10</v>
      </c>
      <c r="J13" s="1077" t="s">
        <v>3009</v>
      </c>
      <c r="K13" s="1077" t="s">
        <v>3010</v>
      </c>
      <c r="L13" s="1205" t="s">
        <v>3011</v>
      </c>
      <c r="M13" s="1078">
        <v>2</v>
      </c>
      <c r="N13" s="1204">
        <v>3519000</v>
      </c>
      <c r="O13" s="1078">
        <f t="shared" si="2"/>
        <v>7038000</v>
      </c>
    </row>
    <row r="14" spans="1:30" ht="28.5">
      <c r="I14" s="1203">
        <v>11</v>
      </c>
      <c r="J14" s="1077" t="s">
        <v>3012</v>
      </c>
      <c r="K14" s="1077" t="s">
        <v>3013</v>
      </c>
      <c r="L14" s="1205" t="s">
        <v>3014</v>
      </c>
      <c r="M14" s="1078">
        <v>2</v>
      </c>
      <c r="N14" s="1204">
        <v>2100000</v>
      </c>
      <c r="O14" s="1078">
        <f t="shared" si="2"/>
        <v>4200000</v>
      </c>
    </row>
    <row r="15" spans="1:30" ht="42.75">
      <c r="I15" s="1203">
        <v>12</v>
      </c>
      <c r="J15" s="1077" t="s">
        <v>3015</v>
      </c>
      <c r="K15" s="1077" t="s">
        <v>3016</v>
      </c>
      <c r="L15" s="1205" t="s">
        <v>3017</v>
      </c>
      <c r="M15" s="1078">
        <v>1</v>
      </c>
      <c r="N15" s="1204">
        <v>75000</v>
      </c>
      <c r="O15" s="1078">
        <f t="shared" si="2"/>
        <v>75000</v>
      </c>
    </row>
    <row r="16" spans="1:30" ht="28.5">
      <c r="I16" s="1203">
        <v>13</v>
      </c>
      <c r="J16" s="1077" t="s">
        <v>3018</v>
      </c>
      <c r="K16" s="1077" t="s">
        <v>3019</v>
      </c>
      <c r="L16" s="1205" t="s">
        <v>3020</v>
      </c>
      <c r="M16" s="1078">
        <v>1</v>
      </c>
      <c r="N16" s="1204">
        <v>628000</v>
      </c>
      <c r="O16" s="1078">
        <f t="shared" si="2"/>
        <v>628000</v>
      </c>
    </row>
    <row r="17" spans="9:15" ht="42.75">
      <c r="I17" s="1203">
        <v>14</v>
      </c>
      <c r="J17" s="1077" t="s">
        <v>3021</v>
      </c>
      <c r="K17" s="1077"/>
      <c r="L17" s="1205" t="s">
        <v>3022</v>
      </c>
      <c r="M17" s="1078">
        <v>1</v>
      </c>
      <c r="N17" s="1204">
        <v>600000</v>
      </c>
      <c r="O17" s="1078">
        <f t="shared" si="2"/>
        <v>600000</v>
      </c>
    </row>
    <row r="18" spans="9:15" ht="57">
      <c r="I18" s="1203">
        <v>15</v>
      </c>
      <c r="J18" s="1077" t="s">
        <v>3023</v>
      </c>
      <c r="K18" s="1077" t="s">
        <v>3024</v>
      </c>
      <c r="L18" s="1205" t="s">
        <v>3025</v>
      </c>
      <c r="M18" s="1078">
        <v>150</v>
      </c>
      <c r="N18" s="1204">
        <v>4500</v>
      </c>
      <c r="O18" s="1078">
        <f t="shared" si="2"/>
        <v>675000</v>
      </c>
    </row>
    <row r="19" spans="9:15">
      <c r="I19" s="1203">
        <v>16</v>
      </c>
      <c r="J19" s="1077" t="s">
        <v>318</v>
      </c>
      <c r="K19" s="1077"/>
      <c r="L19" s="1205" t="s">
        <v>3026</v>
      </c>
      <c r="M19" s="1078">
        <v>2</v>
      </c>
      <c r="N19" s="1204">
        <v>40000</v>
      </c>
      <c r="O19" s="1078">
        <f t="shared" si="2"/>
        <v>80000</v>
      </c>
    </row>
    <row r="20" spans="9:15">
      <c r="I20" s="1203">
        <v>17</v>
      </c>
      <c r="J20" s="1077" t="s">
        <v>3027</v>
      </c>
      <c r="K20" s="1077"/>
      <c r="L20" s="1205" t="s">
        <v>3026</v>
      </c>
      <c r="M20" s="1078">
        <v>20</v>
      </c>
      <c r="N20" s="1204">
        <v>5500</v>
      </c>
      <c r="O20" s="1078">
        <f t="shared" si="2"/>
        <v>110000</v>
      </c>
    </row>
    <row r="21" spans="9:15">
      <c r="I21" s="1203">
        <v>18</v>
      </c>
      <c r="J21" s="1077" t="s">
        <v>3028</v>
      </c>
      <c r="K21" s="1077" t="s">
        <v>3029</v>
      </c>
      <c r="L21" s="1205" t="s">
        <v>3026</v>
      </c>
      <c r="M21" s="1078">
        <v>20</v>
      </c>
      <c r="N21" s="1204">
        <v>3500</v>
      </c>
      <c r="O21" s="1078">
        <f t="shared" si="2"/>
        <v>70000</v>
      </c>
    </row>
    <row r="22" spans="9:15">
      <c r="I22" s="1203">
        <v>19</v>
      </c>
      <c r="J22" s="1077" t="s">
        <v>3028</v>
      </c>
      <c r="K22" s="1077" t="s">
        <v>3030</v>
      </c>
      <c r="L22" s="1205" t="s">
        <v>3026</v>
      </c>
      <c r="M22" s="1078">
        <v>10</v>
      </c>
      <c r="N22" s="1204">
        <v>5000</v>
      </c>
      <c r="O22" s="1078">
        <f t="shared" si="2"/>
        <v>50000</v>
      </c>
    </row>
    <row r="23" spans="9:15">
      <c r="I23" s="1203">
        <v>20</v>
      </c>
      <c r="J23" s="1077" t="s">
        <v>3031</v>
      </c>
      <c r="K23" s="1077"/>
      <c r="L23" s="1205" t="s">
        <v>3032</v>
      </c>
      <c r="M23" s="1078">
        <v>5</v>
      </c>
      <c r="N23" s="1204">
        <v>1500</v>
      </c>
      <c r="O23" s="1078">
        <f t="shared" si="2"/>
        <v>7500</v>
      </c>
    </row>
    <row r="24" spans="9:15">
      <c r="I24" s="1203">
        <v>21</v>
      </c>
      <c r="J24" s="1077" t="s">
        <v>3033</v>
      </c>
      <c r="K24" s="1077"/>
      <c r="L24" s="1205" t="s">
        <v>3026</v>
      </c>
      <c r="M24" s="1078">
        <v>1</v>
      </c>
      <c r="N24" s="1204">
        <v>15000</v>
      </c>
      <c r="O24" s="1078">
        <f t="shared" si="2"/>
        <v>15000</v>
      </c>
    </row>
    <row r="25" spans="9:15">
      <c r="I25" s="1203">
        <v>22</v>
      </c>
      <c r="J25" s="1077" t="s">
        <v>3034</v>
      </c>
      <c r="K25" s="1077" t="s">
        <v>3035</v>
      </c>
      <c r="L25" s="1205" t="s">
        <v>3036</v>
      </c>
      <c r="M25" s="1078">
        <v>1</v>
      </c>
      <c r="N25" s="1204">
        <v>550000</v>
      </c>
      <c r="O25" s="1078">
        <f t="shared" si="2"/>
        <v>550000</v>
      </c>
    </row>
    <row r="26" spans="9:15" ht="57">
      <c r="I26" s="1203">
        <v>23</v>
      </c>
      <c r="J26" s="1077" t="s">
        <v>3037</v>
      </c>
      <c r="K26" s="1077" t="s">
        <v>3038</v>
      </c>
      <c r="L26" s="1205" t="s">
        <v>3039</v>
      </c>
      <c r="M26" s="1078">
        <v>2</v>
      </c>
      <c r="N26" s="1204">
        <v>61000</v>
      </c>
      <c r="O26" s="1078">
        <f t="shared" si="2"/>
        <v>122000</v>
      </c>
    </row>
    <row r="27" spans="9:15">
      <c r="I27" s="1203">
        <v>24</v>
      </c>
      <c r="J27" s="1077" t="s">
        <v>3040</v>
      </c>
      <c r="K27" s="1077"/>
      <c r="L27" s="1205" t="s">
        <v>3026</v>
      </c>
      <c r="M27" s="1078">
        <v>1</v>
      </c>
      <c r="N27" s="1204">
        <v>4000</v>
      </c>
      <c r="O27" s="1078">
        <f t="shared" si="2"/>
        <v>4000</v>
      </c>
    </row>
    <row r="28" spans="9:15">
      <c r="I28" s="1203">
        <v>25</v>
      </c>
      <c r="J28" s="1077" t="s">
        <v>3041</v>
      </c>
      <c r="K28" s="1077"/>
      <c r="L28" s="1205" t="s">
        <v>3026</v>
      </c>
      <c r="M28" s="1078">
        <v>1</v>
      </c>
      <c r="N28" s="1204">
        <v>5000</v>
      </c>
      <c r="O28" s="1078">
        <f t="shared" si="2"/>
        <v>5000</v>
      </c>
    </row>
    <row r="29" spans="9:15">
      <c r="I29" s="1256"/>
      <c r="J29" s="1256"/>
      <c r="K29" s="1256"/>
      <c r="L29" s="1256"/>
      <c r="M29" s="1256"/>
      <c r="N29" s="1256"/>
      <c r="O29" s="1076">
        <f>SUM(O4:O28)</f>
        <v>40976500</v>
      </c>
    </row>
    <row r="30" spans="9:15">
      <c r="I30" s="230"/>
      <c r="J30"/>
      <c r="K30"/>
      <c r="L30"/>
      <c r="M30"/>
      <c r="N30" s="1206"/>
      <c r="O30"/>
    </row>
    <row r="31" spans="9:15">
      <c r="I31"/>
      <c r="J31"/>
      <c r="K31"/>
      <c r="L31"/>
      <c r="M31"/>
      <c r="N31" s="1206"/>
      <c r="O31"/>
    </row>
  </sheetData>
  <mergeCells count="25">
    <mergeCell ref="A1:F1"/>
    <mergeCell ref="B8:E8"/>
    <mergeCell ref="A13:B13"/>
    <mergeCell ref="I1:O1"/>
    <mergeCell ref="I2:I3"/>
    <mergeCell ref="J2:J3"/>
    <mergeCell ref="K2:K3"/>
    <mergeCell ref="L2:L3"/>
    <mergeCell ref="M2:M3"/>
    <mergeCell ref="O2:O3"/>
    <mergeCell ref="I29:N29"/>
    <mergeCell ref="Q1:W1"/>
    <mergeCell ref="Q2:Q3"/>
    <mergeCell ref="R2:R3"/>
    <mergeCell ref="S2:S3"/>
    <mergeCell ref="T2:T3"/>
    <mergeCell ref="U2:U3"/>
    <mergeCell ref="W2:W3"/>
    <mergeCell ref="Q10:V10"/>
    <mergeCell ref="Y1:AD1"/>
    <mergeCell ref="Y2:Y3"/>
    <mergeCell ref="Z2:Z3"/>
    <mergeCell ref="AA2:AA3"/>
    <mergeCell ref="AB2:AB3"/>
    <mergeCell ref="AD2:AD3"/>
  </mergeCells>
  <hyperlinks>
    <hyperlink ref="R8" r:id="rId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workbookViewId="0">
      <selection activeCell="I13" sqref="I13"/>
    </sheetView>
  </sheetViews>
  <sheetFormatPr defaultRowHeight="14.25"/>
  <cols>
    <col min="1" max="1" width="5.5703125" style="981" customWidth="1"/>
    <col min="2" max="2" width="60.5703125" style="980" customWidth="1"/>
    <col min="3" max="3" width="16.42578125" style="980" customWidth="1"/>
    <col min="4" max="4" width="16" style="980" customWidth="1"/>
    <col min="5" max="5" width="11.85546875" style="980" customWidth="1"/>
    <col min="6" max="6" width="17.28515625" style="1772" customWidth="1"/>
    <col min="7" max="16384" width="9.140625" style="980"/>
  </cols>
  <sheetData>
    <row r="1" spans="1:6" ht="36" customHeight="1">
      <c r="A1" s="1686" t="s">
        <v>3066</v>
      </c>
      <c r="B1" s="1687"/>
      <c r="C1" s="1687"/>
      <c r="D1" s="1687"/>
      <c r="E1" s="1687"/>
      <c r="F1" s="1688"/>
    </row>
    <row r="2" spans="1:6" ht="15" customHeight="1">
      <c r="A2" s="1689" t="s">
        <v>1</v>
      </c>
      <c r="B2" s="1690" t="s">
        <v>411</v>
      </c>
      <c r="C2" s="1690" t="s">
        <v>876</v>
      </c>
      <c r="D2" s="1690" t="s">
        <v>412</v>
      </c>
      <c r="E2" s="1690" t="s">
        <v>413</v>
      </c>
      <c r="F2" s="1691" t="s">
        <v>878</v>
      </c>
    </row>
    <row r="3" spans="1:6" ht="15" customHeight="1">
      <c r="A3" s="1689"/>
      <c r="B3" s="1690"/>
      <c r="C3" s="1692"/>
      <c r="D3" s="1690"/>
      <c r="E3" s="1690"/>
      <c r="F3" s="1691"/>
    </row>
    <row r="4" spans="1:6" ht="15" customHeight="1">
      <c r="A4" s="1693" t="s">
        <v>3067</v>
      </c>
      <c r="B4" s="1693"/>
      <c r="C4" s="1693"/>
      <c r="D4" s="1693"/>
      <c r="E4" s="1693"/>
      <c r="F4" s="1693"/>
    </row>
    <row r="5" spans="1:6" ht="18.75" customHeight="1">
      <c r="A5" s="1694" t="s">
        <v>3068</v>
      </c>
      <c r="B5" s="1695" t="s">
        <v>3069</v>
      </c>
      <c r="C5" s="1696">
        <v>10</v>
      </c>
      <c r="D5" s="1695" t="s">
        <v>414</v>
      </c>
      <c r="E5" s="1697" t="s">
        <v>3070</v>
      </c>
      <c r="F5" s="1698">
        <v>5120000</v>
      </c>
    </row>
    <row r="6" spans="1:6" ht="15" customHeight="1">
      <c r="A6" s="1694" t="s">
        <v>3071</v>
      </c>
      <c r="B6" s="1695" t="s">
        <v>3072</v>
      </c>
      <c r="C6" s="1696">
        <v>286</v>
      </c>
      <c r="D6" s="1695" t="s">
        <v>414</v>
      </c>
      <c r="E6" s="1697" t="s">
        <v>3070</v>
      </c>
      <c r="F6" s="1698">
        <v>146432000</v>
      </c>
    </row>
    <row r="7" spans="1:6" ht="15" customHeight="1">
      <c r="A7" s="1694" t="s">
        <v>3073</v>
      </c>
      <c r="B7" s="1695" t="s">
        <v>3074</v>
      </c>
      <c r="C7" s="1696">
        <v>335</v>
      </c>
      <c r="D7" s="1695" t="s">
        <v>883</v>
      </c>
      <c r="E7" s="1697" t="s">
        <v>3070</v>
      </c>
      <c r="F7" s="1698">
        <v>235840000</v>
      </c>
    </row>
    <row r="8" spans="1:6" ht="15" customHeight="1">
      <c r="A8" s="1694" t="s">
        <v>3075</v>
      </c>
      <c r="B8" s="1695" t="s">
        <v>3076</v>
      </c>
      <c r="C8" s="1696">
        <v>350</v>
      </c>
      <c r="D8" s="1695" t="s">
        <v>895</v>
      </c>
      <c r="E8" s="1697" t="s">
        <v>3070</v>
      </c>
      <c r="F8" s="1698">
        <v>246400000</v>
      </c>
    </row>
    <row r="9" spans="1:6" ht="15" customHeight="1">
      <c r="A9" s="1699" t="s">
        <v>3077</v>
      </c>
      <c r="B9" s="1699"/>
      <c r="C9" s="1700"/>
      <c r="D9" s="964"/>
      <c r="E9" s="1701"/>
      <c r="F9" s="1702">
        <f>SUM(F5:F8)</f>
        <v>633792000</v>
      </c>
    </row>
    <row r="10" spans="1:6" ht="15" customHeight="1">
      <c r="A10" s="1694" t="s">
        <v>3078</v>
      </c>
      <c r="B10" s="1695" t="s">
        <v>3079</v>
      </c>
      <c r="C10" s="1696">
        <v>10</v>
      </c>
      <c r="D10" s="1695" t="s">
        <v>3080</v>
      </c>
      <c r="E10" s="1698">
        <v>300000</v>
      </c>
      <c r="F10" s="1698">
        <v>24000000</v>
      </c>
    </row>
    <row r="11" spans="1:6" ht="15" customHeight="1">
      <c r="A11" s="1694" t="s">
        <v>3081</v>
      </c>
      <c r="B11" s="1695" t="s">
        <v>3082</v>
      </c>
      <c r="C11" s="1696">
        <v>286</v>
      </c>
      <c r="D11" s="1695" t="s">
        <v>415</v>
      </c>
      <c r="E11" s="1698">
        <v>300000</v>
      </c>
      <c r="F11" s="1698">
        <v>686400000</v>
      </c>
    </row>
    <row r="12" spans="1:6" ht="15" customHeight="1">
      <c r="A12" s="1694" t="s">
        <v>3083</v>
      </c>
      <c r="B12" s="1695" t="s">
        <v>3084</v>
      </c>
      <c r="C12" s="1696">
        <v>335</v>
      </c>
      <c r="D12" s="1695" t="s">
        <v>884</v>
      </c>
      <c r="E12" s="1698">
        <v>300000</v>
      </c>
      <c r="F12" s="1698">
        <v>1105500000</v>
      </c>
    </row>
    <row r="13" spans="1:6" ht="15" customHeight="1">
      <c r="A13" s="1699" t="s">
        <v>3085</v>
      </c>
      <c r="B13" s="1703"/>
      <c r="C13" s="1700"/>
      <c r="D13" s="964"/>
      <c r="E13" s="964"/>
      <c r="F13" s="1702">
        <f>SUM(F10:F12)</f>
        <v>1815900000</v>
      </c>
    </row>
    <row r="14" spans="1:6" ht="15" customHeight="1">
      <c r="A14" s="1704" t="s">
        <v>433</v>
      </c>
      <c r="B14" s="1705"/>
      <c r="C14" s="1700"/>
      <c r="D14" s="964"/>
      <c r="E14" s="964"/>
      <c r="F14" s="1702"/>
    </row>
    <row r="15" spans="1:6" ht="15" customHeight="1">
      <c r="A15" s="1706" t="s">
        <v>897</v>
      </c>
      <c r="B15" s="1707"/>
      <c r="C15" s="1707"/>
      <c r="D15" s="1707"/>
      <c r="E15" s="1707"/>
      <c r="F15" s="1708"/>
    </row>
    <row r="16" spans="1:6" ht="32.25" customHeight="1">
      <c r="A16" s="1696">
        <v>1</v>
      </c>
      <c r="B16" s="1695" t="str">
        <f>[3]undsen!B16</f>
        <v>2018-2019 оны хичээлийн жилийн элсэлтийн төрөлжсөн мэргэшлийн сургалтын зардал/үргэлжлэл/</v>
      </c>
      <c r="C16" s="1696">
        <f>[3]undsen!C16</f>
        <v>61</v>
      </c>
      <c r="D16" s="1695" t="str">
        <f>[3]undsen!D16</f>
        <v>12 багц цаг</v>
      </c>
      <c r="E16" s="1695">
        <f>[3]undsen!E16</f>
        <v>16000</v>
      </c>
      <c r="F16" s="1698">
        <f>[3]undsen!F16</f>
        <v>11712000</v>
      </c>
    </row>
    <row r="17" spans="1:6" ht="27" customHeight="1">
      <c r="A17" s="1696">
        <v>2</v>
      </c>
      <c r="B17" s="1695" t="str">
        <f>[3]undsen!B17</f>
        <v>2018-2019 оны хичээлийн жилийн элсэлтийн төрөлжсөн мэргэшлийн сургалтын зардал/үргэлжлэл/</v>
      </c>
      <c r="C17" s="1696">
        <f>[3]undsen!C17</f>
        <v>10</v>
      </c>
      <c r="D17" s="1695" t="str">
        <f>[3]undsen!D17</f>
        <v>32 багц цаг</v>
      </c>
      <c r="E17" s="1695">
        <f>[3]undsen!E17</f>
        <v>16000</v>
      </c>
      <c r="F17" s="1698">
        <f>[3]undsen!F17</f>
        <v>4320000</v>
      </c>
    </row>
    <row r="18" spans="1:6" ht="29.25" customHeight="1">
      <c r="A18" s="1696">
        <v>3</v>
      </c>
      <c r="B18" s="1695" t="str">
        <f>[3]undsen!B18</f>
        <v>2018-2019 оны  хичээлийн жилийн элсэлтийн төрөлжсөн мэргэшлийн сургалтын тэтгэлэг/үргэлжлэл/</v>
      </c>
      <c r="C18" s="1696">
        <f>[3]undsen!C18</f>
        <v>61</v>
      </c>
      <c r="D18" s="1695" t="str">
        <f>[3]undsen!D18</f>
        <v>3 сар</v>
      </c>
      <c r="E18" s="1695">
        <f>[3]undsen!E18</f>
        <v>300000</v>
      </c>
      <c r="F18" s="1698">
        <f>[3]undsen!F18</f>
        <v>63900000</v>
      </c>
    </row>
    <row r="19" spans="1:6" ht="27.75" customHeight="1">
      <c r="A19" s="1696">
        <v>4</v>
      </c>
      <c r="B19" s="1695" t="str">
        <f>[3]undsen!B19</f>
        <v>2018-2019 оны  хичээлийн жилийн элсэлтийн төрөлжсөн мэргэшлийн сургалтын тэтгэлэг/үргэлжлэл/</v>
      </c>
      <c r="C19" s="1696">
        <f>[3]undsen!C19</f>
        <v>10</v>
      </c>
      <c r="D19" s="1695" t="str">
        <f>[3]undsen!D19</f>
        <v>8 сар</v>
      </c>
      <c r="E19" s="1695">
        <f>[3]undsen!E19</f>
        <v>300000</v>
      </c>
      <c r="F19" s="1698">
        <f>[3]undsen!F19</f>
        <v>27000000</v>
      </c>
    </row>
    <row r="20" spans="1:6" ht="29.25" customHeight="1">
      <c r="A20" s="1696">
        <v>5</v>
      </c>
      <c r="B20" s="1695" t="str">
        <f>[3]undsen!B20</f>
        <v>2019-2020 оны хичээлийн жилийн элсэлтийн  төрөлжсөн мэргэшлийн сургалтын зардал</v>
      </c>
      <c r="C20" s="1696">
        <f>[3]undsen!C20</f>
        <v>150</v>
      </c>
      <c r="D20" s="1695">
        <f>[3]undsen!D20</f>
        <v>9</v>
      </c>
      <c r="E20" s="1695">
        <f>[3]undsen!E20</f>
        <v>16000</v>
      </c>
      <c r="F20" s="1698">
        <f>[3]undsen!F20</f>
        <v>21600000</v>
      </c>
    </row>
    <row r="21" spans="1:6" ht="29.25" customHeight="1">
      <c r="A21" s="1696">
        <v>6</v>
      </c>
      <c r="B21" s="1695" t="str">
        <f>[3]undsen!B21</f>
        <v>2019-2020 оны хичээлийн жилийн элсэлтийн  төрөлжсөн мэргэшлийн сургалтын тэтгэлэг</v>
      </c>
      <c r="C21" s="1696">
        <f>[3]undsen!C21</f>
        <v>150</v>
      </c>
      <c r="D21" s="1695">
        <f>[3]undsen!D21</f>
        <v>6</v>
      </c>
      <c r="E21" s="1695">
        <f>[3]undsen!E21</f>
        <v>300000</v>
      </c>
      <c r="F21" s="1698">
        <f>[3]undsen!F21</f>
        <v>405000000</v>
      </c>
    </row>
    <row r="22" spans="1:6" ht="29.25" customHeight="1">
      <c r="A22" s="1704" t="s">
        <v>433</v>
      </c>
      <c r="B22" s="1705"/>
      <c r="C22" s="1700"/>
      <c r="D22" s="964"/>
      <c r="E22" s="964"/>
      <c r="F22" s="1702">
        <f>SUM(F16:F21)</f>
        <v>533532000</v>
      </c>
    </row>
    <row r="23" spans="1:6" s="1709" customFormat="1" ht="15" customHeight="1">
      <c r="A23" s="1690" t="s">
        <v>903</v>
      </c>
      <c r="B23" s="1690"/>
      <c r="C23" s="1690"/>
      <c r="D23" s="1690"/>
      <c r="E23" s="1690"/>
      <c r="F23" s="1690"/>
    </row>
    <row r="24" spans="1:6" s="1709" customFormat="1" ht="15" customHeight="1">
      <c r="A24" s="1696">
        <v>1</v>
      </c>
      <c r="B24" s="1699" t="s">
        <v>3086</v>
      </c>
      <c r="C24" s="1696">
        <v>2</v>
      </c>
      <c r="D24" s="1695" t="s">
        <v>416</v>
      </c>
      <c r="E24" s="1698">
        <v>16000</v>
      </c>
      <c r="F24" s="1698">
        <v>384000</v>
      </c>
    </row>
    <row r="25" spans="1:6" s="1709" customFormat="1" ht="15" customHeight="1">
      <c r="A25" s="1696">
        <v>2</v>
      </c>
      <c r="B25" s="1699"/>
      <c r="C25" s="1696">
        <v>5</v>
      </c>
      <c r="D25" s="1695" t="s">
        <v>435</v>
      </c>
      <c r="E25" s="1698">
        <v>16000</v>
      </c>
      <c r="F25" s="1698">
        <v>640000</v>
      </c>
    </row>
    <row r="26" spans="1:6" s="1709" customFormat="1" ht="15" customHeight="1">
      <c r="A26" s="1696">
        <v>3</v>
      </c>
      <c r="B26" s="1699"/>
      <c r="C26" s="1696">
        <v>1</v>
      </c>
      <c r="D26" s="1695" t="s">
        <v>3087</v>
      </c>
      <c r="E26" s="1698">
        <v>16000</v>
      </c>
      <c r="F26" s="1698">
        <v>16000</v>
      </c>
    </row>
    <row r="27" spans="1:6" s="1709" customFormat="1" ht="15" customHeight="1">
      <c r="A27" s="1696">
        <v>4</v>
      </c>
      <c r="B27" s="1699" t="s">
        <v>2421</v>
      </c>
      <c r="C27" s="1696">
        <v>2</v>
      </c>
      <c r="D27" s="1695" t="s">
        <v>417</v>
      </c>
      <c r="E27" s="1698">
        <v>300000</v>
      </c>
      <c r="F27" s="1698">
        <v>1800000</v>
      </c>
    </row>
    <row r="28" spans="1:6" s="1709" customFormat="1" ht="15" customHeight="1">
      <c r="A28" s="1696">
        <v>5</v>
      </c>
      <c r="B28" s="1699"/>
      <c r="C28" s="1696">
        <v>5</v>
      </c>
      <c r="D28" s="1695" t="s">
        <v>436</v>
      </c>
      <c r="E28" s="1698">
        <v>300000</v>
      </c>
      <c r="F28" s="1698">
        <v>3000000</v>
      </c>
    </row>
    <row r="29" spans="1:6" s="1709" customFormat="1" ht="15" customHeight="1">
      <c r="A29" s="1696">
        <v>6</v>
      </c>
      <c r="B29" s="1699"/>
      <c r="C29" s="1696">
        <v>1</v>
      </c>
      <c r="D29" s="1695" t="s">
        <v>422</v>
      </c>
      <c r="E29" s="1698">
        <v>300000</v>
      </c>
      <c r="F29" s="1698">
        <v>300000</v>
      </c>
    </row>
    <row r="30" spans="1:6" s="1709" customFormat="1" ht="27" customHeight="1">
      <c r="A30" s="1696">
        <v>7</v>
      </c>
      <c r="B30" s="1695" t="s">
        <v>2422</v>
      </c>
      <c r="C30" s="1696">
        <v>120</v>
      </c>
      <c r="D30" s="1695" t="s">
        <v>416</v>
      </c>
      <c r="E30" s="1698">
        <v>16000</v>
      </c>
      <c r="F30" s="1698">
        <v>1920000</v>
      </c>
    </row>
    <row r="31" spans="1:6" s="1709" customFormat="1" ht="15" customHeight="1">
      <c r="A31" s="1704" t="s">
        <v>3088</v>
      </c>
      <c r="B31" s="1710"/>
      <c r="C31" s="1711"/>
      <c r="D31" s="1695"/>
      <c r="E31" s="1695"/>
      <c r="F31" s="1702">
        <f>SUM(F24:F30)</f>
        <v>8060000</v>
      </c>
    </row>
    <row r="32" spans="1:6" ht="15" customHeight="1">
      <c r="A32" s="1690" t="s">
        <v>909</v>
      </c>
      <c r="B32" s="1690"/>
      <c r="C32" s="1690"/>
      <c r="D32" s="1690"/>
      <c r="E32" s="1690"/>
      <c r="F32" s="1690"/>
    </row>
    <row r="33" spans="1:6" ht="27" customHeight="1">
      <c r="A33" s="1696">
        <v>1</v>
      </c>
      <c r="B33" s="1712" t="s">
        <v>3089</v>
      </c>
      <c r="C33" s="1713">
        <v>10</v>
      </c>
      <c r="D33" s="1712" t="s">
        <v>418</v>
      </c>
      <c r="E33" s="1714">
        <v>16000</v>
      </c>
      <c r="F33" s="1714">
        <v>2560000</v>
      </c>
    </row>
    <row r="34" spans="1:6" ht="27" customHeight="1">
      <c r="A34" s="1696">
        <v>2</v>
      </c>
      <c r="B34" s="1712" t="s">
        <v>3090</v>
      </c>
      <c r="C34" s="1713">
        <v>450</v>
      </c>
      <c r="D34" s="1712" t="s">
        <v>416</v>
      </c>
      <c r="E34" s="1714">
        <v>16000</v>
      </c>
      <c r="F34" s="1714">
        <v>86400000</v>
      </c>
    </row>
    <row r="35" spans="1:6" ht="27" customHeight="1">
      <c r="A35" s="1696">
        <v>3</v>
      </c>
      <c r="B35" s="1712" t="s">
        <v>3091</v>
      </c>
      <c r="C35" s="1713">
        <v>10</v>
      </c>
      <c r="D35" s="1712" t="s">
        <v>422</v>
      </c>
      <c r="E35" s="1714">
        <v>300000</v>
      </c>
      <c r="F35" s="1714">
        <v>3000000</v>
      </c>
    </row>
    <row r="36" spans="1:6" ht="27" customHeight="1">
      <c r="A36" s="1715">
        <v>4</v>
      </c>
      <c r="B36" s="1712" t="s">
        <v>3092</v>
      </c>
      <c r="C36" s="1713">
        <v>6</v>
      </c>
      <c r="D36" s="1712" t="s">
        <v>422</v>
      </c>
      <c r="E36" s="1714">
        <v>300000</v>
      </c>
      <c r="F36" s="1714">
        <v>1800000</v>
      </c>
    </row>
    <row r="37" spans="1:6" ht="27" customHeight="1">
      <c r="A37" s="1715"/>
      <c r="B37" s="1712" t="s">
        <v>3093</v>
      </c>
      <c r="C37" s="1716">
        <v>120</v>
      </c>
      <c r="D37" s="1717" t="s">
        <v>434</v>
      </c>
      <c r="E37" s="1718">
        <v>16000</v>
      </c>
      <c r="F37" s="1714">
        <v>9600000</v>
      </c>
    </row>
    <row r="38" spans="1:6" ht="27" customHeight="1">
      <c r="A38" s="1719" t="s">
        <v>3094</v>
      </c>
      <c r="B38" s="1720"/>
      <c r="C38" s="1713">
        <f>SUM(C33:C37)</f>
        <v>596</v>
      </c>
      <c r="D38" s="1721"/>
      <c r="E38" s="1721"/>
      <c r="F38" s="1722">
        <f>SUM(F33:F37)</f>
        <v>103360000</v>
      </c>
    </row>
    <row r="39" spans="1:6" ht="15" customHeight="1">
      <c r="A39" s="1723" t="s">
        <v>916</v>
      </c>
      <c r="B39" s="1723"/>
      <c r="C39" s="1723"/>
      <c r="D39" s="1723"/>
      <c r="E39" s="1723"/>
      <c r="F39" s="1723"/>
    </row>
    <row r="40" spans="1:6" s="1728" customFormat="1" ht="15" customHeight="1">
      <c r="A40" s="1724">
        <v>1</v>
      </c>
      <c r="B40" s="1725" t="s">
        <v>3095</v>
      </c>
      <c r="C40" s="1726">
        <v>120</v>
      </c>
      <c r="D40" s="1725"/>
      <c r="E40" s="1725"/>
      <c r="F40" s="1727">
        <v>39000000</v>
      </c>
    </row>
    <row r="41" spans="1:6" s="1728" customFormat="1" ht="15" customHeight="1">
      <c r="A41" s="1724">
        <v>2</v>
      </c>
      <c r="B41" s="1725" t="s">
        <v>3096</v>
      </c>
      <c r="C41" s="1726">
        <v>120</v>
      </c>
      <c r="D41" s="1725"/>
      <c r="E41" s="1725"/>
      <c r="F41" s="1727">
        <v>15000000</v>
      </c>
    </row>
    <row r="42" spans="1:6" s="1728" customFormat="1" ht="15" customHeight="1">
      <c r="A42" s="1724">
        <v>3</v>
      </c>
      <c r="B42" s="1725" t="s">
        <v>3097</v>
      </c>
      <c r="C42" s="1726">
        <v>120</v>
      </c>
      <c r="D42" s="1725"/>
      <c r="E42" s="1725"/>
      <c r="F42" s="1727">
        <v>15000000</v>
      </c>
    </row>
    <row r="43" spans="1:6" ht="15" customHeight="1">
      <c r="A43" s="1729">
        <v>4</v>
      </c>
      <c r="B43" s="1730" t="s">
        <v>3098</v>
      </c>
      <c r="C43" s="1731">
        <v>500</v>
      </c>
      <c r="D43" s="1730"/>
      <c r="E43" s="1730"/>
      <c r="F43" s="1732">
        <v>20000000</v>
      </c>
    </row>
    <row r="44" spans="1:6" ht="15" customHeight="1">
      <c r="A44" s="1729">
        <v>5</v>
      </c>
      <c r="B44" s="1730" t="s">
        <v>3099</v>
      </c>
      <c r="C44" s="1731">
        <v>160</v>
      </c>
      <c r="D44" s="1730"/>
      <c r="E44" s="1730"/>
      <c r="F44" s="1732">
        <v>15000000</v>
      </c>
    </row>
    <row r="45" spans="1:6" ht="15" customHeight="1">
      <c r="A45" s="1729">
        <v>6</v>
      </c>
      <c r="B45" s="1730" t="s">
        <v>3100</v>
      </c>
      <c r="C45" s="1731">
        <v>160</v>
      </c>
      <c r="D45" s="1730"/>
      <c r="E45" s="1730"/>
      <c r="F45" s="1732">
        <v>15000000</v>
      </c>
    </row>
    <row r="46" spans="1:6" ht="15" customHeight="1">
      <c r="A46" s="1729">
        <v>7</v>
      </c>
      <c r="B46" s="969" t="s">
        <v>3101</v>
      </c>
      <c r="C46" s="1731">
        <v>160</v>
      </c>
      <c r="D46" s="1730"/>
      <c r="E46" s="1730"/>
      <c r="F46" s="1732">
        <v>20000000</v>
      </c>
    </row>
    <row r="47" spans="1:6" ht="15" customHeight="1">
      <c r="A47" s="1729">
        <v>8</v>
      </c>
      <c r="B47" s="969" t="s">
        <v>3102</v>
      </c>
      <c r="C47" s="1731">
        <v>240</v>
      </c>
      <c r="D47" s="1730"/>
      <c r="E47" s="1730"/>
      <c r="F47" s="1732" t="s">
        <v>3103</v>
      </c>
    </row>
    <row r="48" spans="1:6" ht="15" customHeight="1">
      <c r="A48" s="1729"/>
      <c r="B48" s="1733"/>
      <c r="C48" s="1734">
        <f>SUM(C40:C47)</f>
        <v>1580</v>
      </c>
      <c r="D48" s="1730"/>
      <c r="E48" s="1730"/>
      <c r="F48" s="1735">
        <f>SUM(F40:F47)</f>
        <v>139000000</v>
      </c>
    </row>
    <row r="49" spans="1:6" ht="15" customHeight="1">
      <c r="A49" s="1692" t="s">
        <v>420</v>
      </c>
      <c r="B49" s="1692"/>
      <c r="C49" s="1692"/>
      <c r="D49" s="1692"/>
      <c r="E49" s="1692"/>
      <c r="F49" s="1692"/>
    </row>
    <row r="50" spans="1:6" ht="15" customHeight="1">
      <c r="A50" s="1729">
        <v>1</v>
      </c>
      <c r="B50" s="1730" t="s">
        <v>929</v>
      </c>
      <c r="C50" s="1730">
        <v>4000</v>
      </c>
      <c r="D50" s="1730"/>
      <c r="E50" s="1730"/>
      <c r="F50" s="1735">
        <v>8000000</v>
      </c>
    </row>
    <row r="51" spans="1:6" ht="15" customHeight="1">
      <c r="A51" s="1736"/>
      <c r="B51" s="1733" t="s">
        <v>472</v>
      </c>
      <c r="C51" s="1730"/>
      <c r="D51" s="1730"/>
      <c r="E51" s="1730"/>
      <c r="F51" s="1735">
        <f>SUM(F48,F50)</f>
        <v>147000000</v>
      </c>
    </row>
    <row r="52" spans="1:6" ht="15" customHeight="1">
      <c r="A52" s="1737"/>
      <c r="B52" s="1738"/>
      <c r="C52" s="1739"/>
      <c r="D52" s="1739"/>
      <c r="E52" s="1739"/>
      <c r="F52" s="1740"/>
    </row>
    <row r="53" spans="1:6" ht="15" customHeight="1">
      <c r="A53" s="1741" t="s">
        <v>2434</v>
      </c>
      <c r="B53" s="1742"/>
      <c r="C53" s="1742"/>
      <c r="D53" s="1742"/>
      <c r="E53" s="1742"/>
      <c r="F53" s="1743"/>
    </row>
    <row r="54" spans="1:6" ht="15" customHeight="1">
      <c r="A54" s="1744"/>
      <c r="B54" s="1695" t="s">
        <v>931</v>
      </c>
      <c r="C54" s="1729" t="s">
        <v>327</v>
      </c>
      <c r="D54" s="1729" t="s">
        <v>3104</v>
      </c>
      <c r="E54" s="1729" t="s">
        <v>2435</v>
      </c>
      <c r="F54" s="1745" t="s">
        <v>156</v>
      </c>
    </row>
    <row r="55" spans="1:6" ht="15" customHeight="1">
      <c r="A55" s="1744">
        <v>1</v>
      </c>
      <c r="B55" s="1695" t="s">
        <v>3105</v>
      </c>
      <c r="C55" s="1729">
        <v>10000</v>
      </c>
      <c r="D55" s="1729">
        <v>1</v>
      </c>
      <c r="E55" s="1729">
        <v>100</v>
      </c>
      <c r="F55" s="1732">
        <f>C55*D55*E55</f>
        <v>1000000</v>
      </c>
    </row>
    <row r="56" spans="1:6" ht="15" customHeight="1">
      <c r="A56" s="1744">
        <v>2</v>
      </c>
      <c r="B56" s="1695" t="s">
        <v>3106</v>
      </c>
      <c r="C56" s="1729">
        <v>120</v>
      </c>
      <c r="D56" s="1729">
        <v>1</v>
      </c>
      <c r="E56" s="1729">
        <v>40000</v>
      </c>
      <c r="F56" s="1732">
        <f>C56*D56*E56</f>
        <v>4800000</v>
      </c>
    </row>
    <row r="57" spans="1:6" ht="15" customHeight="1">
      <c r="A57" s="1744">
        <v>3</v>
      </c>
      <c r="B57" s="1695" t="str">
        <f>[4]Шалгалт!B16</f>
        <v>Томилолтын зардал /21 аймаг /</v>
      </c>
      <c r="C57" s="1729">
        <f>[4]Шалгалт!C16</f>
        <v>21</v>
      </c>
      <c r="D57" s="1729"/>
      <c r="E57" s="1729">
        <v>225000</v>
      </c>
      <c r="F57" s="1732">
        <v>4725000</v>
      </c>
    </row>
    <row r="58" spans="1:6" ht="15" customHeight="1">
      <c r="A58" s="1744">
        <v>4</v>
      </c>
      <c r="B58" s="1695" t="s">
        <v>3107</v>
      </c>
      <c r="C58" s="1729">
        <v>1</v>
      </c>
      <c r="D58" s="1729">
        <v>1</v>
      </c>
      <c r="E58" s="1729">
        <v>1000000</v>
      </c>
      <c r="F58" s="1732">
        <f t="shared" ref="F58" si="0">C58*D58*E58</f>
        <v>1000000</v>
      </c>
    </row>
    <row r="59" spans="1:6" ht="29.25" customHeight="1">
      <c r="A59" s="1744">
        <v>5</v>
      </c>
      <c r="B59" s="1695" t="s">
        <v>3108</v>
      </c>
      <c r="C59" s="1695">
        <v>5000</v>
      </c>
      <c r="D59" s="1695"/>
      <c r="E59" s="1695">
        <v>2500</v>
      </c>
      <c r="F59" s="1698">
        <v>12500000</v>
      </c>
    </row>
    <row r="60" spans="1:6" ht="15" customHeight="1">
      <c r="A60" s="1746"/>
      <c r="B60" s="1700" t="s">
        <v>472</v>
      </c>
      <c r="C60" s="1729"/>
      <c r="D60" s="1729"/>
      <c r="E60" s="1729"/>
      <c r="F60" s="1735">
        <f>SUM(F55:F59)</f>
        <v>24025000</v>
      </c>
    </row>
    <row r="61" spans="1:6" ht="15" customHeight="1">
      <c r="A61" s="1747" t="s">
        <v>3109</v>
      </c>
      <c r="B61" s="1747"/>
      <c r="C61" s="1747"/>
      <c r="D61" s="1747"/>
      <c r="E61" s="1747"/>
      <c r="F61" s="1747"/>
    </row>
    <row r="62" spans="1:6" s="1709" customFormat="1" ht="38.25" customHeight="1">
      <c r="A62" s="1696" t="s">
        <v>1</v>
      </c>
      <c r="B62" s="1695" t="s">
        <v>3110</v>
      </c>
      <c r="C62" s="1695" t="s">
        <v>3111</v>
      </c>
      <c r="D62" s="1695"/>
      <c r="E62" s="1695" t="s">
        <v>3112</v>
      </c>
      <c r="F62" s="1748" t="s">
        <v>3113</v>
      </c>
    </row>
    <row r="63" spans="1:6" ht="32.25" customHeight="1">
      <c r="A63" s="1749">
        <v>1</v>
      </c>
      <c r="B63" s="1695" t="s">
        <v>3114</v>
      </c>
      <c r="C63" s="1695">
        <v>3000</v>
      </c>
      <c r="D63" s="1695"/>
      <c r="E63" s="1695">
        <v>5000</v>
      </c>
      <c r="F63" s="1698">
        <v>15000000</v>
      </c>
    </row>
    <row r="64" spans="1:6" ht="32.25" customHeight="1">
      <c r="A64" s="1749">
        <v>2</v>
      </c>
      <c r="B64" s="1695" t="s">
        <v>3115</v>
      </c>
      <c r="C64" s="1695">
        <v>2000</v>
      </c>
      <c r="D64" s="1695"/>
      <c r="E64" s="1695">
        <v>5000</v>
      </c>
      <c r="F64" s="1698">
        <v>10000000</v>
      </c>
    </row>
    <row r="65" spans="1:6" s="1709" customFormat="1" ht="44.25" customHeight="1">
      <c r="A65" s="1696">
        <v>3</v>
      </c>
      <c r="B65" s="1695" t="s">
        <v>3116</v>
      </c>
      <c r="C65" s="1695">
        <v>2000</v>
      </c>
      <c r="D65" s="1695"/>
      <c r="E65" s="1695">
        <v>5000</v>
      </c>
      <c r="F65" s="1698">
        <v>10000000</v>
      </c>
    </row>
    <row r="66" spans="1:6" ht="15" customHeight="1">
      <c r="A66" s="1749">
        <v>4</v>
      </c>
      <c r="B66" s="1695" t="s">
        <v>3117</v>
      </c>
      <c r="C66" s="1730">
        <v>50</v>
      </c>
      <c r="D66" s="1730"/>
      <c r="E66" s="1730"/>
      <c r="F66" s="1732">
        <v>5000000</v>
      </c>
    </row>
    <row r="67" spans="1:6" ht="15" customHeight="1">
      <c r="A67" s="1744"/>
      <c r="B67" s="1750" t="s">
        <v>472</v>
      </c>
      <c r="C67" s="1751"/>
      <c r="D67" s="1751"/>
      <c r="E67" s="1751"/>
      <c r="F67" s="1735">
        <f>SUM(F63:F66)</f>
        <v>40000000</v>
      </c>
    </row>
    <row r="68" spans="1:6" ht="15" customHeight="1">
      <c r="A68" s="1752"/>
      <c r="B68" s="1695"/>
      <c r="C68" s="969"/>
      <c r="D68" s="969"/>
      <c r="E68" s="969"/>
      <c r="F68" s="1745"/>
    </row>
    <row r="69" spans="1:6" ht="15" customHeight="1">
      <c r="A69" s="1753" t="s">
        <v>930</v>
      </c>
      <c r="B69" s="1753"/>
      <c r="C69" s="1753"/>
      <c r="D69" s="1753"/>
      <c r="E69" s="1753"/>
      <c r="F69" s="1753"/>
    </row>
    <row r="70" spans="1:6" ht="27" customHeight="1">
      <c r="A70" s="1754"/>
      <c r="B70" s="1695" t="s">
        <v>931</v>
      </c>
      <c r="C70" s="1755" t="s">
        <v>933</v>
      </c>
      <c r="D70" s="1731" t="s">
        <v>932</v>
      </c>
      <c r="E70" s="964"/>
      <c r="F70" s="1756"/>
    </row>
    <row r="71" spans="1:6" ht="15" customHeight="1">
      <c r="A71" s="1731">
        <v>1</v>
      </c>
      <c r="B71" s="1730" t="s">
        <v>930</v>
      </c>
      <c r="C71" s="1731">
        <v>190</v>
      </c>
      <c r="D71" s="1731">
        <v>8</v>
      </c>
      <c r="E71" s="1734"/>
      <c r="F71" s="1732">
        <v>1119986200</v>
      </c>
    </row>
    <row r="72" spans="1:6" ht="15" customHeight="1">
      <c r="A72" s="1731">
        <v>2</v>
      </c>
      <c r="B72" s="1730" t="s">
        <v>3118</v>
      </c>
      <c r="C72" s="1731">
        <v>30</v>
      </c>
      <c r="D72" s="1731">
        <v>1</v>
      </c>
      <c r="E72" s="1734"/>
      <c r="F72" s="1732">
        <v>650000</v>
      </c>
    </row>
    <row r="73" spans="1:6" ht="15" customHeight="1">
      <c r="A73" s="1746"/>
      <c r="B73" s="1750" t="s">
        <v>472</v>
      </c>
      <c r="C73" s="1729"/>
      <c r="D73" s="1757"/>
      <c r="E73" s="1757"/>
      <c r="F73" s="1758">
        <f>SUM(F71:F72)</f>
        <v>1120636200</v>
      </c>
    </row>
    <row r="74" spans="1:6" ht="15" customHeight="1">
      <c r="A74" s="1759" t="s">
        <v>3119</v>
      </c>
      <c r="B74" s="1760"/>
      <c r="C74" s="1760"/>
      <c r="D74" s="1760"/>
      <c r="E74" s="1760"/>
      <c r="F74" s="1761"/>
    </row>
    <row r="75" spans="1:6" ht="29.25" customHeight="1">
      <c r="A75" s="828"/>
      <c r="B75" s="1695" t="s">
        <v>3120</v>
      </c>
      <c r="C75" s="1715" t="s">
        <v>933</v>
      </c>
      <c r="D75" s="1762" t="s">
        <v>3121</v>
      </c>
      <c r="E75" s="1763"/>
      <c r="F75" s="1764" t="s">
        <v>316</v>
      </c>
    </row>
    <row r="76" spans="1:6" ht="44.25" customHeight="1">
      <c r="A76" s="1765">
        <v>1</v>
      </c>
      <c r="B76" s="1192" t="s">
        <v>3122</v>
      </c>
      <c r="C76" s="1766">
        <v>100</v>
      </c>
      <c r="D76" s="1766">
        <v>6</v>
      </c>
      <c r="E76" s="1766"/>
      <c r="F76" s="1732">
        <v>240000</v>
      </c>
    </row>
    <row r="77" spans="1:6" ht="45.75" customHeight="1">
      <c r="A77" s="1766">
        <v>2</v>
      </c>
      <c r="B77" s="1767" t="s">
        <v>3123</v>
      </c>
      <c r="C77" s="1766">
        <v>80</v>
      </c>
      <c r="D77" s="1766">
        <v>1</v>
      </c>
      <c r="E77" s="1766"/>
      <c r="F77" s="1732">
        <v>3240000</v>
      </c>
    </row>
    <row r="78" spans="1:6" ht="28.5" customHeight="1">
      <c r="A78" s="1766">
        <v>3</v>
      </c>
      <c r="B78" s="1768" t="s">
        <v>3124</v>
      </c>
      <c r="C78" s="1766">
        <v>25</v>
      </c>
      <c r="D78" s="1766">
        <v>1</v>
      </c>
      <c r="E78" s="1766"/>
      <c r="F78" s="1732">
        <v>1873000</v>
      </c>
    </row>
    <row r="79" spans="1:6" ht="28.5" customHeight="1">
      <c r="A79" s="1766">
        <v>4</v>
      </c>
      <c r="B79" s="1695" t="s">
        <v>3125</v>
      </c>
      <c r="C79" s="1731"/>
      <c r="D79" s="1731"/>
      <c r="E79" s="1731"/>
      <c r="F79" s="1732">
        <v>7000000</v>
      </c>
    </row>
    <row r="80" spans="1:6" ht="18.75" customHeight="1">
      <c r="A80" s="1766">
        <v>5</v>
      </c>
      <c r="B80" s="1695" t="s">
        <v>3126</v>
      </c>
      <c r="C80" s="1731">
        <v>60</v>
      </c>
      <c r="D80" s="1731">
        <v>1</v>
      </c>
      <c r="E80" s="1731"/>
      <c r="F80" s="1732">
        <v>500000</v>
      </c>
    </row>
    <row r="81" spans="1:6" ht="15" customHeight="1">
      <c r="A81" s="1766">
        <v>6</v>
      </c>
      <c r="B81" s="1695" t="s">
        <v>3127</v>
      </c>
      <c r="C81" s="1731">
        <v>10</v>
      </c>
      <c r="D81" s="1731">
        <v>1</v>
      </c>
      <c r="E81" s="1731">
        <v>80000</v>
      </c>
      <c r="F81" s="1732">
        <v>800000</v>
      </c>
    </row>
    <row r="82" spans="1:6" ht="15" customHeight="1">
      <c r="A82" s="1766">
        <v>7</v>
      </c>
      <c r="B82" s="1695" t="s">
        <v>3128</v>
      </c>
      <c r="C82" s="1731">
        <v>105</v>
      </c>
      <c r="D82" s="1731">
        <v>4</v>
      </c>
      <c r="E82" s="1731"/>
      <c r="F82" s="1732">
        <v>6000000</v>
      </c>
    </row>
    <row r="83" spans="1:6" ht="15" customHeight="1">
      <c r="A83" s="1766">
        <v>8</v>
      </c>
      <c r="B83" s="1695" t="s">
        <v>3129</v>
      </c>
      <c r="C83" s="1731">
        <v>50</v>
      </c>
      <c r="D83" s="1731">
        <v>3</v>
      </c>
      <c r="E83" s="1731"/>
      <c r="F83" s="1732">
        <v>2400000</v>
      </c>
    </row>
    <row r="84" spans="1:6" ht="15" customHeight="1">
      <c r="A84" s="1766">
        <v>9</v>
      </c>
      <c r="B84" s="1695" t="s">
        <v>3130</v>
      </c>
      <c r="C84" s="1731">
        <v>120</v>
      </c>
      <c r="D84" s="1731">
        <v>3</v>
      </c>
      <c r="E84" s="1731"/>
      <c r="F84" s="1732">
        <v>36000000</v>
      </c>
    </row>
    <row r="85" spans="1:6" ht="30.75" customHeight="1">
      <c r="A85" s="1766">
        <v>10</v>
      </c>
      <c r="B85" s="1695" t="s">
        <v>3131</v>
      </c>
      <c r="C85" s="1731" t="s">
        <v>3132</v>
      </c>
      <c r="D85" s="1731"/>
      <c r="E85" s="1731">
        <v>30000</v>
      </c>
      <c r="F85" s="1732">
        <v>6000000</v>
      </c>
    </row>
    <row r="86" spans="1:6" ht="27" customHeight="1">
      <c r="A86" s="1766">
        <v>11</v>
      </c>
      <c r="B86" s="1695" t="s">
        <v>3133</v>
      </c>
      <c r="C86" s="1731" t="s">
        <v>3132</v>
      </c>
      <c r="D86" s="1731"/>
      <c r="E86" s="1731">
        <v>20000</v>
      </c>
      <c r="F86" s="1732">
        <v>4000000</v>
      </c>
    </row>
    <row r="87" spans="1:6" ht="16.5" customHeight="1">
      <c r="A87" s="1752"/>
      <c r="B87" s="1734" t="s">
        <v>472</v>
      </c>
      <c r="C87" s="1734"/>
      <c r="D87" s="1734"/>
      <c r="E87" s="1734"/>
      <c r="F87" s="1735">
        <f>SUM(F76:F86)</f>
        <v>68053000</v>
      </c>
    </row>
    <row r="88" spans="1:6" ht="15" customHeight="1">
      <c r="A88" s="1752"/>
      <c r="B88" s="1187" t="s">
        <v>556</v>
      </c>
      <c r="C88" s="1769"/>
      <c r="D88" s="1769"/>
      <c r="E88" s="1769"/>
      <c r="F88" s="1770" t="s">
        <v>3134</v>
      </c>
    </row>
    <row r="89" spans="1:6" ht="15" customHeight="1">
      <c r="E89" s="982"/>
      <c r="F89" s="1771"/>
    </row>
    <row r="90" spans="1:6" ht="15" customHeight="1">
      <c r="B90" s="980" t="s">
        <v>2425</v>
      </c>
      <c r="C90" s="983"/>
      <c r="D90" s="980" t="s">
        <v>3135</v>
      </c>
    </row>
    <row r="91" spans="1:6" ht="15" customHeight="1">
      <c r="B91" s="980" t="s">
        <v>2427</v>
      </c>
      <c r="C91" s="983"/>
      <c r="D91" s="980" t="s">
        <v>3136</v>
      </c>
    </row>
    <row r="92" spans="1:6" ht="15" customHeight="1">
      <c r="D92" s="980" t="s">
        <v>3137</v>
      </c>
    </row>
    <row r="93" spans="1:6" ht="15" customHeight="1">
      <c r="D93" s="980" t="s">
        <v>3138</v>
      </c>
    </row>
    <row r="94" spans="1:6" ht="15" customHeight="1">
      <c r="D94" s="980" t="s">
        <v>3139</v>
      </c>
    </row>
    <row r="95" spans="1:6" ht="15" customHeight="1">
      <c r="D95" s="980" t="s">
        <v>3140</v>
      </c>
    </row>
    <row r="97" spans="1:6" ht="15" customHeight="1">
      <c r="A97" s="1773" t="s">
        <v>2404</v>
      </c>
      <c r="B97" s="1773"/>
      <c r="C97" s="1773"/>
      <c r="D97" s="1773"/>
      <c r="E97" s="1773"/>
      <c r="F97" s="1773"/>
    </row>
    <row r="98" spans="1:6" ht="15" customHeight="1">
      <c r="A98" s="1774"/>
      <c r="B98" s="1773"/>
      <c r="C98" s="1773"/>
      <c r="D98" s="1773"/>
      <c r="E98" s="1773"/>
      <c r="F98" s="1773"/>
    </row>
    <row r="99" spans="1:6" ht="15" customHeight="1">
      <c r="B99" s="981" t="s">
        <v>3141</v>
      </c>
    </row>
    <row r="100" spans="1:6" ht="15" customHeight="1">
      <c r="B100" s="981"/>
    </row>
    <row r="101" spans="1:6" ht="15" customHeight="1">
      <c r="B101" s="981" t="s">
        <v>3142</v>
      </c>
    </row>
    <row r="103" spans="1:6" ht="15" customHeight="1">
      <c r="B103" s="981" t="s">
        <v>3143</v>
      </c>
    </row>
    <row r="104" spans="1:6" ht="15" customHeight="1">
      <c r="B104" s="1775"/>
      <c r="C104" s="1775"/>
      <c r="D104" s="1775"/>
      <c r="E104" s="1775"/>
      <c r="F104" s="1775"/>
    </row>
    <row r="105" spans="1:6" ht="15" customHeight="1">
      <c r="B105" s="1775"/>
      <c r="C105" s="1775"/>
      <c r="D105" s="1775"/>
      <c r="E105" s="1775"/>
      <c r="F105" s="1775"/>
    </row>
  </sheetData>
  <mergeCells count="28">
    <mergeCell ref="A97:F97"/>
    <mergeCell ref="A98:F98"/>
    <mergeCell ref="B104:F105"/>
    <mergeCell ref="A39:F39"/>
    <mergeCell ref="A49:F49"/>
    <mergeCell ref="A53:F53"/>
    <mergeCell ref="A61:F61"/>
    <mergeCell ref="A69:F69"/>
    <mergeCell ref="A74:F74"/>
    <mergeCell ref="A23:F23"/>
    <mergeCell ref="B24:B26"/>
    <mergeCell ref="B27:B29"/>
    <mergeCell ref="A31:B31"/>
    <mergeCell ref="A32:F32"/>
    <mergeCell ref="A38:B38"/>
    <mergeCell ref="A4:F4"/>
    <mergeCell ref="A9:B9"/>
    <mergeCell ref="A13:B13"/>
    <mergeCell ref="A14:B14"/>
    <mergeCell ref="A15:F15"/>
    <mergeCell ref="A22:B22"/>
    <mergeCell ref="A1:F1"/>
    <mergeCell ref="A2:A3"/>
    <mergeCell ref="B2:B3"/>
    <mergeCell ref="C2:C3"/>
    <mergeCell ref="D2:D3"/>
    <mergeCell ref="E2:E3"/>
    <mergeCell ref="F2: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4"/>
  <sheetViews>
    <sheetView workbookViewId="0">
      <selection activeCell="P8" sqref="P8"/>
    </sheetView>
  </sheetViews>
  <sheetFormatPr defaultRowHeight="14.25"/>
  <cols>
    <col min="1" max="1" width="6.140625" customWidth="1"/>
    <col min="2" max="2" width="21.140625" customWidth="1"/>
    <col min="3" max="3" width="16.140625" customWidth="1"/>
    <col min="4" max="4" width="10.85546875" customWidth="1"/>
    <col min="5" max="5" width="12.5703125" customWidth="1"/>
    <col min="6" max="6" width="10.5703125" customWidth="1"/>
    <col min="8" max="8" width="11.7109375" customWidth="1"/>
    <col min="9" max="9" width="10.28515625" customWidth="1"/>
    <col min="10" max="10" width="10.85546875" customWidth="1"/>
    <col min="12" max="12" width="11.28515625" bestFit="1" customWidth="1"/>
    <col min="13" max="13" width="11" customWidth="1"/>
    <col min="14" max="14" width="13.140625" customWidth="1"/>
    <col min="257" max="257" width="6.140625" customWidth="1"/>
    <col min="258" max="258" width="21.140625" customWidth="1"/>
    <col min="259" max="259" width="16.140625" customWidth="1"/>
    <col min="260" max="260" width="10.85546875" customWidth="1"/>
    <col min="261" max="261" width="12.5703125" customWidth="1"/>
    <col min="262" max="262" width="10.5703125" customWidth="1"/>
    <col min="264" max="264" width="11.7109375" customWidth="1"/>
    <col min="265" max="265" width="10.28515625" customWidth="1"/>
    <col min="266" max="266" width="10.85546875" customWidth="1"/>
    <col min="268" max="268" width="11.28515625" bestFit="1" customWidth="1"/>
    <col min="269" max="269" width="11" customWidth="1"/>
    <col min="270" max="270" width="13.140625" customWidth="1"/>
    <col min="513" max="513" width="6.140625" customWidth="1"/>
    <col min="514" max="514" width="21.140625" customWidth="1"/>
    <col min="515" max="515" width="16.140625" customWidth="1"/>
    <col min="516" max="516" width="10.85546875" customWidth="1"/>
    <col min="517" max="517" width="12.5703125" customWidth="1"/>
    <col min="518" max="518" width="10.5703125" customWidth="1"/>
    <col min="520" max="520" width="11.7109375" customWidth="1"/>
    <col min="521" max="521" width="10.28515625" customWidth="1"/>
    <col min="522" max="522" width="10.85546875" customWidth="1"/>
    <col min="524" max="524" width="11.28515625" bestFit="1" customWidth="1"/>
    <col min="525" max="525" width="11" customWidth="1"/>
    <col min="526" max="526" width="13.140625" customWidth="1"/>
    <col min="769" max="769" width="6.140625" customWidth="1"/>
    <col min="770" max="770" width="21.140625" customWidth="1"/>
    <col min="771" max="771" width="16.140625" customWidth="1"/>
    <col min="772" max="772" width="10.85546875" customWidth="1"/>
    <col min="773" max="773" width="12.5703125" customWidth="1"/>
    <col min="774" max="774" width="10.5703125" customWidth="1"/>
    <col min="776" max="776" width="11.7109375" customWidth="1"/>
    <col min="777" max="777" width="10.28515625" customWidth="1"/>
    <col min="778" max="778" width="10.85546875" customWidth="1"/>
    <col min="780" max="780" width="11.28515625" bestFit="1" customWidth="1"/>
    <col min="781" max="781" width="11" customWidth="1"/>
    <col min="782" max="782" width="13.140625" customWidth="1"/>
    <col min="1025" max="1025" width="6.140625" customWidth="1"/>
    <col min="1026" max="1026" width="21.140625" customWidth="1"/>
    <col min="1027" max="1027" width="16.140625" customWidth="1"/>
    <col min="1028" max="1028" width="10.85546875" customWidth="1"/>
    <col min="1029" max="1029" width="12.5703125" customWidth="1"/>
    <col min="1030" max="1030" width="10.5703125" customWidth="1"/>
    <col min="1032" max="1032" width="11.7109375" customWidth="1"/>
    <col min="1033" max="1033" width="10.28515625" customWidth="1"/>
    <col min="1034" max="1034" width="10.85546875" customWidth="1"/>
    <col min="1036" max="1036" width="11.28515625" bestFit="1" customWidth="1"/>
    <col min="1037" max="1037" width="11" customWidth="1"/>
    <col min="1038" max="1038" width="13.140625" customWidth="1"/>
    <col min="1281" max="1281" width="6.140625" customWidth="1"/>
    <col min="1282" max="1282" width="21.140625" customWidth="1"/>
    <col min="1283" max="1283" width="16.140625" customWidth="1"/>
    <col min="1284" max="1284" width="10.85546875" customWidth="1"/>
    <col min="1285" max="1285" width="12.5703125" customWidth="1"/>
    <col min="1286" max="1286" width="10.5703125" customWidth="1"/>
    <col min="1288" max="1288" width="11.7109375" customWidth="1"/>
    <col min="1289" max="1289" width="10.28515625" customWidth="1"/>
    <col min="1290" max="1290" width="10.85546875" customWidth="1"/>
    <col min="1292" max="1292" width="11.28515625" bestFit="1" customWidth="1"/>
    <col min="1293" max="1293" width="11" customWidth="1"/>
    <col min="1294" max="1294" width="13.140625" customWidth="1"/>
    <col min="1537" max="1537" width="6.140625" customWidth="1"/>
    <col min="1538" max="1538" width="21.140625" customWidth="1"/>
    <col min="1539" max="1539" width="16.140625" customWidth="1"/>
    <col min="1540" max="1540" width="10.85546875" customWidth="1"/>
    <col min="1541" max="1541" width="12.5703125" customWidth="1"/>
    <col min="1542" max="1542" width="10.5703125" customWidth="1"/>
    <col min="1544" max="1544" width="11.7109375" customWidth="1"/>
    <col min="1545" max="1545" width="10.28515625" customWidth="1"/>
    <col min="1546" max="1546" width="10.85546875" customWidth="1"/>
    <col min="1548" max="1548" width="11.28515625" bestFit="1" customWidth="1"/>
    <col min="1549" max="1549" width="11" customWidth="1"/>
    <col min="1550" max="1550" width="13.140625" customWidth="1"/>
    <col min="1793" max="1793" width="6.140625" customWidth="1"/>
    <col min="1794" max="1794" width="21.140625" customWidth="1"/>
    <col min="1795" max="1795" width="16.140625" customWidth="1"/>
    <col min="1796" max="1796" width="10.85546875" customWidth="1"/>
    <col min="1797" max="1797" width="12.5703125" customWidth="1"/>
    <col min="1798" max="1798" width="10.5703125" customWidth="1"/>
    <col min="1800" max="1800" width="11.7109375" customWidth="1"/>
    <col min="1801" max="1801" width="10.28515625" customWidth="1"/>
    <col min="1802" max="1802" width="10.85546875" customWidth="1"/>
    <col min="1804" max="1804" width="11.28515625" bestFit="1" customWidth="1"/>
    <col min="1805" max="1805" width="11" customWidth="1"/>
    <col min="1806" max="1806" width="13.140625" customWidth="1"/>
    <col min="2049" max="2049" width="6.140625" customWidth="1"/>
    <col min="2050" max="2050" width="21.140625" customWidth="1"/>
    <col min="2051" max="2051" width="16.140625" customWidth="1"/>
    <col min="2052" max="2052" width="10.85546875" customWidth="1"/>
    <col min="2053" max="2053" width="12.5703125" customWidth="1"/>
    <col min="2054" max="2054" width="10.5703125" customWidth="1"/>
    <col min="2056" max="2056" width="11.7109375" customWidth="1"/>
    <col min="2057" max="2057" width="10.28515625" customWidth="1"/>
    <col min="2058" max="2058" width="10.85546875" customWidth="1"/>
    <col min="2060" max="2060" width="11.28515625" bestFit="1" customWidth="1"/>
    <col min="2061" max="2061" width="11" customWidth="1"/>
    <col min="2062" max="2062" width="13.140625" customWidth="1"/>
    <col min="2305" max="2305" width="6.140625" customWidth="1"/>
    <col min="2306" max="2306" width="21.140625" customWidth="1"/>
    <col min="2307" max="2307" width="16.140625" customWidth="1"/>
    <col min="2308" max="2308" width="10.85546875" customWidth="1"/>
    <col min="2309" max="2309" width="12.5703125" customWidth="1"/>
    <col min="2310" max="2310" width="10.5703125" customWidth="1"/>
    <col min="2312" max="2312" width="11.7109375" customWidth="1"/>
    <col min="2313" max="2313" width="10.28515625" customWidth="1"/>
    <col min="2314" max="2314" width="10.85546875" customWidth="1"/>
    <col min="2316" max="2316" width="11.28515625" bestFit="1" customWidth="1"/>
    <col min="2317" max="2317" width="11" customWidth="1"/>
    <col min="2318" max="2318" width="13.140625" customWidth="1"/>
    <col min="2561" max="2561" width="6.140625" customWidth="1"/>
    <col min="2562" max="2562" width="21.140625" customWidth="1"/>
    <col min="2563" max="2563" width="16.140625" customWidth="1"/>
    <col min="2564" max="2564" width="10.85546875" customWidth="1"/>
    <col min="2565" max="2565" width="12.5703125" customWidth="1"/>
    <col min="2566" max="2566" width="10.5703125" customWidth="1"/>
    <col min="2568" max="2568" width="11.7109375" customWidth="1"/>
    <col min="2569" max="2569" width="10.28515625" customWidth="1"/>
    <col min="2570" max="2570" width="10.85546875" customWidth="1"/>
    <col min="2572" max="2572" width="11.28515625" bestFit="1" customWidth="1"/>
    <col min="2573" max="2573" width="11" customWidth="1"/>
    <col min="2574" max="2574" width="13.140625" customWidth="1"/>
    <col min="2817" max="2817" width="6.140625" customWidth="1"/>
    <col min="2818" max="2818" width="21.140625" customWidth="1"/>
    <col min="2819" max="2819" width="16.140625" customWidth="1"/>
    <col min="2820" max="2820" width="10.85546875" customWidth="1"/>
    <col min="2821" max="2821" width="12.5703125" customWidth="1"/>
    <col min="2822" max="2822" width="10.5703125" customWidth="1"/>
    <col min="2824" max="2824" width="11.7109375" customWidth="1"/>
    <col min="2825" max="2825" width="10.28515625" customWidth="1"/>
    <col min="2826" max="2826" width="10.85546875" customWidth="1"/>
    <col min="2828" max="2828" width="11.28515625" bestFit="1" customWidth="1"/>
    <col min="2829" max="2829" width="11" customWidth="1"/>
    <col min="2830" max="2830" width="13.140625" customWidth="1"/>
    <col min="3073" max="3073" width="6.140625" customWidth="1"/>
    <col min="3074" max="3074" width="21.140625" customWidth="1"/>
    <col min="3075" max="3075" width="16.140625" customWidth="1"/>
    <col min="3076" max="3076" width="10.85546875" customWidth="1"/>
    <col min="3077" max="3077" width="12.5703125" customWidth="1"/>
    <col min="3078" max="3078" width="10.5703125" customWidth="1"/>
    <col min="3080" max="3080" width="11.7109375" customWidth="1"/>
    <col min="3081" max="3081" width="10.28515625" customWidth="1"/>
    <col min="3082" max="3082" width="10.85546875" customWidth="1"/>
    <col min="3084" max="3084" width="11.28515625" bestFit="1" customWidth="1"/>
    <col min="3085" max="3085" width="11" customWidth="1"/>
    <col min="3086" max="3086" width="13.140625" customWidth="1"/>
    <col min="3329" max="3329" width="6.140625" customWidth="1"/>
    <col min="3330" max="3330" width="21.140625" customWidth="1"/>
    <col min="3331" max="3331" width="16.140625" customWidth="1"/>
    <col min="3332" max="3332" width="10.85546875" customWidth="1"/>
    <col min="3333" max="3333" width="12.5703125" customWidth="1"/>
    <col min="3334" max="3334" width="10.5703125" customWidth="1"/>
    <col min="3336" max="3336" width="11.7109375" customWidth="1"/>
    <col min="3337" max="3337" width="10.28515625" customWidth="1"/>
    <col min="3338" max="3338" width="10.85546875" customWidth="1"/>
    <col min="3340" max="3340" width="11.28515625" bestFit="1" customWidth="1"/>
    <col min="3341" max="3341" width="11" customWidth="1"/>
    <col min="3342" max="3342" width="13.140625" customWidth="1"/>
    <col min="3585" max="3585" width="6.140625" customWidth="1"/>
    <col min="3586" max="3586" width="21.140625" customWidth="1"/>
    <col min="3587" max="3587" width="16.140625" customWidth="1"/>
    <col min="3588" max="3588" width="10.85546875" customWidth="1"/>
    <col min="3589" max="3589" width="12.5703125" customWidth="1"/>
    <col min="3590" max="3590" width="10.5703125" customWidth="1"/>
    <col min="3592" max="3592" width="11.7109375" customWidth="1"/>
    <col min="3593" max="3593" width="10.28515625" customWidth="1"/>
    <col min="3594" max="3594" width="10.85546875" customWidth="1"/>
    <col min="3596" max="3596" width="11.28515625" bestFit="1" customWidth="1"/>
    <col min="3597" max="3597" width="11" customWidth="1"/>
    <col min="3598" max="3598" width="13.140625" customWidth="1"/>
    <col min="3841" max="3841" width="6.140625" customWidth="1"/>
    <col min="3842" max="3842" width="21.140625" customWidth="1"/>
    <col min="3843" max="3843" width="16.140625" customWidth="1"/>
    <col min="3844" max="3844" width="10.85546875" customWidth="1"/>
    <col min="3845" max="3845" width="12.5703125" customWidth="1"/>
    <col min="3846" max="3846" width="10.5703125" customWidth="1"/>
    <col min="3848" max="3848" width="11.7109375" customWidth="1"/>
    <col min="3849" max="3849" width="10.28515625" customWidth="1"/>
    <col min="3850" max="3850" width="10.85546875" customWidth="1"/>
    <col min="3852" max="3852" width="11.28515625" bestFit="1" customWidth="1"/>
    <col min="3853" max="3853" width="11" customWidth="1"/>
    <col min="3854" max="3854" width="13.140625" customWidth="1"/>
    <col min="4097" max="4097" width="6.140625" customWidth="1"/>
    <col min="4098" max="4098" width="21.140625" customWidth="1"/>
    <col min="4099" max="4099" width="16.140625" customWidth="1"/>
    <col min="4100" max="4100" width="10.85546875" customWidth="1"/>
    <col min="4101" max="4101" width="12.5703125" customWidth="1"/>
    <col min="4102" max="4102" width="10.5703125" customWidth="1"/>
    <col min="4104" max="4104" width="11.7109375" customWidth="1"/>
    <col min="4105" max="4105" width="10.28515625" customWidth="1"/>
    <col min="4106" max="4106" width="10.85546875" customWidth="1"/>
    <col min="4108" max="4108" width="11.28515625" bestFit="1" customWidth="1"/>
    <col min="4109" max="4109" width="11" customWidth="1"/>
    <col min="4110" max="4110" width="13.140625" customWidth="1"/>
    <col min="4353" max="4353" width="6.140625" customWidth="1"/>
    <col min="4354" max="4354" width="21.140625" customWidth="1"/>
    <col min="4355" max="4355" width="16.140625" customWidth="1"/>
    <col min="4356" max="4356" width="10.85546875" customWidth="1"/>
    <col min="4357" max="4357" width="12.5703125" customWidth="1"/>
    <col min="4358" max="4358" width="10.5703125" customWidth="1"/>
    <col min="4360" max="4360" width="11.7109375" customWidth="1"/>
    <col min="4361" max="4361" width="10.28515625" customWidth="1"/>
    <col min="4362" max="4362" width="10.85546875" customWidth="1"/>
    <col min="4364" max="4364" width="11.28515625" bestFit="1" customWidth="1"/>
    <col min="4365" max="4365" width="11" customWidth="1"/>
    <col min="4366" max="4366" width="13.140625" customWidth="1"/>
    <col min="4609" max="4609" width="6.140625" customWidth="1"/>
    <col min="4610" max="4610" width="21.140625" customWidth="1"/>
    <col min="4611" max="4611" width="16.140625" customWidth="1"/>
    <col min="4612" max="4612" width="10.85546875" customWidth="1"/>
    <col min="4613" max="4613" width="12.5703125" customWidth="1"/>
    <col min="4614" max="4614" width="10.5703125" customWidth="1"/>
    <col min="4616" max="4616" width="11.7109375" customWidth="1"/>
    <col min="4617" max="4617" width="10.28515625" customWidth="1"/>
    <col min="4618" max="4618" width="10.85546875" customWidth="1"/>
    <col min="4620" max="4620" width="11.28515625" bestFit="1" customWidth="1"/>
    <col min="4621" max="4621" width="11" customWidth="1"/>
    <col min="4622" max="4622" width="13.140625" customWidth="1"/>
    <col min="4865" max="4865" width="6.140625" customWidth="1"/>
    <col min="4866" max="4866" width="21.140625" customWidth="1"/>
    <col min="4867" max="4867" width="16.140625" customWidth="1"/>
    <col min="4868" max="4868" width="10.85546875" customWidth="1"/>
    <col min="4869" max="4869" width="12.5703125" customWidth="1"/>
    <col min="4870" max="4870" width="10.5703125" customWidth="1"/>
    <col min="4872" max="4872" width="11.7109375" customWidth="1"/>
    <col min="4873" max="4873" width="10.28515625" customWidth="1"/>
    <col min="4874" max="4874" width="10.85546875" customWidth="1"/>
    <col min="4876" max="4876" width="11.28515625" bestFit="1" customWidth="1"/>
    <col min="4877" max="4877" width="11" customWidth="1"/>
    <col min="4878" max="4878" width="13.140625" customWidth="1"/>
    <col min="5121" max="5121" width="6.140625" customWidth="1"/>
    <col min="5122" max="5122" width="21.140625" customWidth="1"/>
    <col min="5123" max="5123" width="16.140625" customWidth="1"/>
    <col min="5124" max="5124" width="10.85546875" customWidth="1"/>
    <col min="5125" max="5125" width="12.5703125" customWidth="1"/>
    <col min="5126" max="5126" width="10.5703125" customWidth="1"/>
    <col min="5128" max="5128" width="11.7109375" customWidth="1"/>
    <col min="5129" max="5129" width="10.28515625" customWidth="1"/>
    <col min="5130" max="5130" width="10.85546875" customWidth="1"/>
    <col min="5132" max="5132" width="11.28515625" bestFit="1" customWidth="1"/>
    <col min="5133" max="5133" width="11" customWidth="1"/>
    <col min="5134" max="5134" width="13.140625" customWidth="1"/>
    <col min="5377" max="5377" width="6.140625" customWidth="1"/>
    <col min="5378" max="5378" width="21.140625" customWidth="1"/>
    <col min="5379" max="5379" width="16.140625" customWidth="1"/>
    <col min="5380" max="5380" width="10.85546875" customWidth="1"/>
    <col min="5381" max="5381" width="12.5703125" customWidth="1"/>
    <col min="5382" max="5382" width="10.5703125" customWidth="1"/>
    <col min="5384" max="5384" width="11.7109375" customWidth="1"/>
    <col min="5385" max="5385" width="10.28515625" customWidth="1"/>
    <col min="5386" max="5386" width="10.85546875" customWidth="1"/>
    <col min="5388" max="5388" width="11.28515625" bestFit="1" customWidth="1"/>
    <col min="5389" max="5389" width="11" customWidth="1"/>
    <col min="5390" max="5390" width="13.140625" customWidth="1"/>
    <col min="5633" max="5633" width="6.140625" customWidth="1"/>
    <col min="5634" max="5634" width="21.140625" customWidth="1"/>
    <col min="5635" max="5635" width="16.140625" customWidth="1"/>
    <col min="5636" max="5636" width="10.85546875" customWidth="1"/>
    <col min="5637" max="5637" width="12.5703125" customWidth="1"/>
    <col min="5638" max="5638" width="10.5703125" customWidth="1"/>
    <col min="5640" max="5640" width="11.7109375" customWidth="1"/>
    <col min="5641" max="5641" width="10.28515625" customWidth="1"/>
    <col min="5642" max="5642" width="10.85546875" customWidth="1"/>
    <col min="5644" max="5644" width="11.28515625" bestFit="1" customWidth="1"/>
    <col min="5645" max="5645" width="11" customWidth="1"/>
    <col min="5646" max="5646" width="13.140625" customWidth="1"/>
    <col min="5889" max="5889" width="6.140625" customWidth="1"/>
    <col min="5890" max="5890" width="21.140625" customWidth="1"/>
    <col min="5891" max="5891" width="16.140625" customWidth="1"/>
    <col min="5892" max="5892" width="10.85546875" customWidth="1"/>
    <col min="5893" max="5893" width="12.5703125" customWidth="1"/>
    <col min="5894" max="5894" width="10.5703125" customWidth="1"/>
    <col min="5896" max="5896" width="11.7109375" customWidth="1"/>
    <col min="5897" max="5897" width="10.28515625" customWidth="1"/>
    <col min="5898" max="5898" width="10.85546875" customWidth="1"/>
    <col min="5900" max="5900" width="11.28515625" bestFit="1" customWidth="1"/>
    <col min="5901" max="5901" width="11" customWidth="1"/>
    <col min="5902" max="5902" width="13.140625" customWidth="1"/>
    <col min="6145" max="6145" width="6.140625" customWidth="1"/>
    <col min="6146" max="6146" width="21.140625" customWidth="1"/>
    <col min="6147" max="6147" width="16.140625" customWidth="1"/>
    <col min="6148" max="6148" width="10.85546875" customWidth="1"/>
    <col min="6149" max="6149" width="12.5703125" customWidth="1"/>
    <col min="6150" max="6150" width="10.5703125" customWidth="1"/>
    <col min="6152" max="6152" width="11.7109375" customWidth="1"/>
    <col min="6153" max="6153" width="10.28515625" customWidth="1"/>
    <col min="6154" max="6154" width="10.85546875" customWidth="1"/>
    <col min="6156" max="6156" width="11.28515625" bestFit="1" customWidth="1"/>
    <col min="6157" max="6157" width="11" customWidth="1"/>
    <col min="6158" max="6158" width="13.140625" customWidth="1"/>
    <col min="6401" max="6401" width="6.140625" customWidth="1"/>
    <col min="6402" max="6402" width="21.140625" customWidth="1"/>
    <col min="6403" max="6403" width="16.140625" customWidth="1"/>
    <col min="6404" max="6404" width="10.85546875" customWidth="1"/>
    <col min="6405" max="6405" width="12.5703125" customWidth="1"/>
    <col min="6406" max="6406" width="10.5703125" customWidth="1"/>
    <col min="6408" max="6408" width="11.7109375" customWidth="1"/>
    <col min="6409" max="6409" width="10.28515625" customWidth="1"/>
    <col min="6410" max="6410" width="10.85546875" customWidth="1"/>
    <col min="6412" max="6412" width="11.28515625" bestFit="1" customWidth="1"/>
    <col min="6413" max="6413" width="11" customWidth="1"/>
    <col min="6414" max="6414" width="13.140625" customWidth="1"/>
    <col min="6657" max="6657" width="6.140625" customWidth="1"/>
    <col min="6658" max="6658" width="21.140625" customWidth="1"/>
    <col min="6659" max="6659" width="16.140625" customWidth="1"/>
    <col min="6660" max="6660" width="10.85546875" customWidth="1"/>
    <col min="6661" max="6661" width="12.5703125" customWidth="1"/>
    <col min="6662" max="6662" width="10.5703125" customWidth="1"/>
    <col min="6664" max="6664" width="11.7109375" customWidth="1"/>
    <col min="6665" max="6665" width="10.28515625" customWidth="1"/>
    <col min="6666" max="6666" width="10.85546875" customWidth="1"/>
    <col min="6668" max="6668" width="11.28515625" bestFit="1" customWidth="1"/>
    <col min="6669" max="6669" width="11" customWidth="1"/>
    <col min="6670" max="6670" width="13.140625" customWidth="1"/>
    <col min="6913" max="6913" width="6.140625" customWidth="1"/>
    <col min="6914" max="6914" width="21.140625" customWidth="1"/>
    <col min="6915" max="6915" width="16.140625" customWidth="1"/>
    <col min="6916" max="6916" width="10.85546875" customWidth="1"/>
    <col min="6917" max="6917" width="12.5703125" customWidth="1"/>
    <col min="6918" max="6918" width="10.5703125" customWidth="1"/>
    <col min="6920" max="6920" width="11.7109375" customWidth="1"/>
    <col min="6921" max="6921" width="10.28515625" customWidth="1"/>
    <col min="6922" max="6922" width="10.85546875" customWidth="1"/>
    <col min="6924" max="6924" width="11.28515625" bestFit="1" customWidth="1"/>
    <col min="6925" max="6925" width="11" customWidth="1"/>
    <col min="6926" max="6926" width="13.140625" customWidth="1"/>
    <col min="7169" max="7169" width="6.140625" customWidth="1"/>
    <col min="7170" max="7170" width="21.140625" customWidth="1"/>
    <col min="7171" max="7171" width="16.140625" customWidth="1"/>
    <col min="7172" max="7172" width="10.85546875" customWidth="1"/>
    <col min="7173" max="7173" width="12.5703125" customWidth="1"/>
    <col min="7174" max="7174" width="10.5703125" customWidth="1"/>
    <col min="7176" max="7176" width="11.7109375" customWidth="1"/>
    <col min="7177" max="7177" width="10.28515625" customWidth="1"/>
    <col min="7178" max="7178" width="10.85546875" customWidth="1"/>
    <col min="7180" max="7180" width="11.28515625" bestFit="1" customWidth="1"/>
    <col min="7181" max="7181" width="11" customWidth="1"/>
    <col min="7182" max="7182" width="13.140625" customWidth="1"/>
    <col min="7425" max="7425" width="6.140625" customWidth="1"/>
    <col min="7426" max="7426" width="21.140625" customWidth="1"/>
    <col min="7427" max="7427" width="16.140625" customWidth="1"/>
    <col min="7428" max="7428" width="10.85546875" customWidth="1"/>
    <col min="7429" max="7429" width="12.5703125" customWidth="1"/>
    <col min="7430" max="7430" width="10.5703125" customWidth="1"/>
    <col min="7432" max="7432" width="11.7109375" customWidth="1"/>
    <col min="7433" max="7433" width="10.28515625" customWidth="1"/>
    <col min="7434" max="7434" width="10.85546875" customWidth="1"/>
    <col min="7436" max="7436" width="11.28515625" bestFit="1" customWidth="1"/>
    <col min="7437" max="7437" width="11" customWidth="1"/>
    <col min="7438" max="7438" width="13.140625" customWidth="1"/>
    <col min="7681" max="7681" width="6.140625" customWidth="1"/>
    <col min="7682" max="7682" width="21.140625" customWidth="1"/>
    <col min="7683" max="7683" width="16.140625" customWidth="1"/>
    <col min="7684" max="7684" width="10.85546875" customWidth="1"/>
    <col min="7685" max="7685" width="12.5703125" customWidth="1"/>
    <col min="7686" max="7686" width="10.5703125" customWidth="1"/>
    <col min="7688" max="7688" width="11.7109375" customWidth="1"/>
    <col min="7689" max="7689" width="10.28515625" customWidth="1"/>
    <col min="7690" max="7690" width="10.85546875" customWidth="1"/>
    <col min="7692" max="7692" width="11.28515625" bestFit="1" customWidth="1"/>
    <col min="7693" max="7693" width="11" customWidth="1"/>
    <col min="7694" max="7694" width="13.140625" customWidth="1"/>
    <col min="7937" max="7937" width="6.140625" customWidth="1"/>
    <col min="7938" max="7938" width="21.140625" customWidth="1"/>
    <col min="7939" max="7939" width="16.140625" customWidth="1"/>
    <col min="7940" max="7940" width="10.85546875" customWidth="1"/>
    <col min="7941" max="7941" width="12.5703125" customWidth="1"/>
    <col min="7942" max="7942" width="10.5703125" customWidth="1"/>
    <col min="7944" max="7944" width="11.7109375" customWidth="1"/>
    <col min="7945" max="7945" width="10.28515625" customWidth="1"/>
    <col min="7946" max="7946" width="10.85546875" customWidth="1"/>
    <col min="7948" max="7948" width="11.28515625" bestFit="1" customWidth="1"/>
    <col min="7949" max="7949" width="11" customWidth="1"/>
    <col min="7950" max="7950" width="13.140625" customWidth="1"/>
    <col min="8193" max="8193" width="6.140625" customWidth="1"/>
    <col min="8194" max="8194" width="21.140625" customWidth="1"/>
    <col min="8195" max="8195" width="16.140625" customWidth="1"/>
    <col min="8196" max="8196" width="10.85546875" customWidth="1"/>
    <col min="8197" max="8197" width="12.5703125" customWidth="1"/>
    <col min="8198" max="8198" width="10.5703125" customWidth="1"/>
    <col min="8200" max="8200" width="11.7109375" customWidth="1"/>
    <col min="8201" max="8201" width="10.28515625" customWidth="1"/>
    <col min="8202" max="8202" width="10.85546875" customWidth="1"/>
    <col min="8204" max="8204" width="11.28515625" bestFit="1" customWidth="1"/>
    <col min="8205" max="8205" width="11" customWidth="1"/>
    <col min="8206" max="8206" width="13.140625" customWidth="1"/>
    <col min="8449" max="8449" width="6.140625" customWidth="1"/>
    <col min="8450" max="8450" width="21.140625" customWidth="1"/>
    <col min="8451" max="8451" width="16.140625" customWidth="1"/>
    <col min="8452" max="8452" width="10.85546875" customWidth="1"/>
    <col min="8453" max="8453" width="12.5703125" customWidth="1"/>
    <col min="8454" max="8454" width="10.5703125" customWidth="1"/>
    <col min="8456" max="8456" width="11.7109375" customWidth="1"/>
    <col min="8457" max="8457" width="10.28515625" customWidth="1"/>
    <col min="8458" max="8458" width="10.85546875" customWidth="1"/>
    <col min="8460" max="8460" width="11.28515625" bestFit="1" customWidth="1"/>
    <col min="8461" max="8461" width="11" customWidth="1"/>
    <col min="8462" max="8462" width="13.140625" customWidth="1"/>
    <col min="8705" max="8705" width="6.140625" customWidth="1"/>
    <col min="8706" max="8706" width="21.140625" customWidth="1"/>
    <col min="8707" max="8707" width="16.140625" customWidth="1"/>
    <col min="8708" max="8708" width="10.85546875" customWidth="1"/>
    <col min="8709" max="8709" width="12.5703125" customWidth="1"/>
    <col min="8710" max="8710" width="10.5703125" customWidth="1"/>
    <col min="8712" max="8712" width="11.7109375" customWidth="1"/>
    <col min="8713" max="8713" width="10.28515625" customWidth="1"/>
    <col min="8714" max="8714" width="10.85546875" customWidth="1"/>
    <col min="8716" max="8716" width="11.28515625" bestFit="1" customWidth="1"/>
    <col min="8717" max="8717" width="11" customWidth="1"/>
    <col min="8718" max="8718" width="13.140625" customWidth="1"/>
    <col min="8961" max="8961" width="6.140625" customWidth="1"/>
    <col min="8962" max="8962" width="21.140625" customWidth="1"/>
    <col min="8963" max="8963" width="16.140625" customWidth="1"/>
    <col min="8964" max="8964" width="10.85546875" customWidth="1"/>
    <col min="8965" max="8965" width="12.5703125" customWidth="1"/>
    <col min="8966" max="8966" width="10.5703125" customWidth="1"/>
    <col min="8968" max="8968" width="11.7109375" customWidth="1"/>
    <col min="8969" max="8969" width="10.28515625" customWidth="1"/>
    <col min="8970" max="8970" width="10.85546875" customWidth="1"/>
    <col min="8972" max="8972" width="11.28515625" bestFit="1" customWidth="1"/>
    <col min="8973" max="8973" width="11" customWidth="1"/>
    <col min="8974" max="8974" width="13.140625" customWidth="1"/>
    <col min="9217" max="9217" width="6.140625" customWidth="1"/>
    <col min="9218" max="9218" width="21.140625" customWidth="1"/>
    <col min="9219" max="9219" width="16.140625" customWidth="1"/>
    <col min="9220" max="9220" width="10.85546875" customWidth="1"/>
    <col min="9221" max="9221" width="12.5703125" customWidth="1"/>
    <col min="9222" max="9222" width="10.5703125" customWidth="1"/>
    <col min="9224" max="9224" width="11.7109375" customWidth="1"/>
    <col min="9225" max="9225" width="10.28515625" customWidth="1"/>
    <col min="9226" max="9226" width="10.85546875" customWidth="1"/>
    <col min="9228" max="9228" width="11.28515625" bestFit="1" customWidth="1"/>
    <col min="9229" max="9229" width="11" customWidth="1"/>
    <col min="9230" max="9230" width="13.140625" customWidth="1"/>
    <col min="9473" max="9473" width="6.140625" customWidth="1"/>
    <col min="9474" max="9474" width="21.140625" customWidth="1"/>
    <col min="9475" max="9475" width="16.140625" customWidth="1"/>
    <col min="9476" max="9476" width="10.85546875" customWidth="1"/>
    <col min="9477" max="9477" width="12.5703125" customWidth="1"/>
    <col min="9478" max="9478" width="10.5703125" customWidth="1"/>
    <col min="9480" max="9480" width="11.7109375" customWidth="1"/>
    <col min="9481" max="9481" width="10.28515625" customWidth="1"/>
    <col min="9482" max="9482" width="10.85546875" customWidth="1"/>
    <col min="9484" max="9484" width="11.28515625" bestFit="1" customWidth="1"/>
    <col min="9485" max="9485" width="11" customWidth="1"/>
    <col min="9486" max="9486" width="13.140625" customWidth="1"/>
    <col min="9729" max="9729" width="6.140625" customWidth="1"/>
    <col min="9730" max="9730" width="21.140625" customWidth="1"/>
    <col min="9731" max="9731" width="16.140625" customWidth="1"/>
    <col min="9732" max="9732" width="10.85546875" customWidth="1"/>
    <col min="9733" max="9733" width="12.5703125" customWidth="1"/>
    <col min="9734" max="9734" width="10.5703125" customWidth="1"/>
    <col min="9736" max="9736" width="11.7109375" customWidth="1"/>
    <col min="9737" max="9737" width="10.28515625" customWidth="1"/>
    <col min="9738" max="9738" width="10.85546875" customWidth="1"/>
    <col min="9740" max="9740" width="11.28515625" bestFit="1" customWidth="1"/>
    <col min="9741" max="9741" width="11" customWidth="1"/>
    <col min="9742" max="9742" width="13.140625" customWidth="1"/>
    <col min="9985" max="9985" width="6.140625" customWidth="1"/>
    <col min="9986" max="9986" width="21.140625" customWidth="1"/>
    <col min="9987" max="9987" width="16.140625" customWidth="1"/>
    <col min="9988" max="9988" width="10.85546875" customWidth="1"/>
    <col min="9989" max="9989" width="12.5703125" customWidth="1"/>
    <col min="9990" max="9990" width="10.5703125" customWidth="1"/>
    <col min="9992" max="9992" width="11.7109375" customWidth="1"/>
    <col min="9993" max="9993" width="10.28515625" customWidth="1"/>
    <col min="9994" max="9994" width="10.85546875" customWidth="1"/>
    <col min="9996" max="9996" width="11.28515625" bestFit="1" customWidth="1"/>
    <col min="9997" max="9997" width="11" customWidth="1"/>
    <col min="9998" max="9998" width="13.140625" customWidth="1"/>
    <col min="10241" max="10241" width="6.140625" customWidth="1"/>
    <col min="10242" max="10242" width="21.140625" customWidth="1"/>
    <col min="10243" max="10243" width="16.140625" customWidth="1"/>
    <col min="10244" max="10244" width="10.85546875" customWidth="1"/>
    <col min="10245" max="10245" width="12.5703125" customWidth="1"/>
    <col min="10246" max="10246" width="10.5703125" customWidth="1"/>
    <col min="10248" max="10248" width="11.7109375" customWidth="1"/>
    <col min="10249" max="10249" width="10.28515625" customWidth="1"/>
    <col min="10250" max="10250" width="10.85546875" customWidth="1"/>
    <col min="10252" max="10252" width="11.28515625" bestFit="1" customWidth="1"/>
    <col min="10253" max="10253" width="11" customWidth="1"/>
    <col min="10254" max="10254" width="13.140625" customWidth="1"/>
    <col min="10497" max="10497" width="6.140625" customWidth="1"/>
    <col min="10498" max="10498" width="21.140625" customWidth="1"/>
    <col min="10499" max="10499" width="16.140625" customWidth="1"/>
    <col min="10500" max="10500" width="10.85546875" customWidth="1"/>
    <col min="10501" max="10501" width="12.5703125" customWidth="1"/>
    <col min="10502" max="10502" width="10.5703125" customWidth="1"/>
    <col min="10504" max="10504" width="11.7109375" customWidth="1"/>
    <col min="10505" max="10505" width="10.28515625" customWidth="1"/>
    <col min="10506" max="10506" width="10.85546875" customWidth="1"/>
    <col min="10508" max="10508" width="11.28515625" bestFit="1" customWidth="1"/>
    <col min="10509" max="10509" width="11" customWidth="1"/>
    <col min="10510" max="10510" width="13.140625" customWidth="1"/>
    <col min="10753" max="10753" width="6.140625" customWidth="1"/>
    <col min="10754" max="10754" width="21.140625" customWidth="1"/>
    <col min="10755" max="10755" width="16.140625" customWidth="1"/>
    <col min="10756" max="10756" width="10.85546875" customWidth="1"/>
    <col min="10757" max="10757" width="12.5703125" customWidth="1"/>
    <col min="10758" max="10758" width="10.5703125" customWidth="1"/>
    <col min="10760" max="10760" width="11.7109375" customWidth="1"/>
    <col min="10761" max="10761" width="10.28515625" customWidth="1"/>
    <col min="10762" max="10762" width="10.85546875" customWidth="1"/>
    <col min="10764" max="10764" width="11.28515625" bestFit="1" customWidth="1"/>
    <col min="10765" max="10765" width="11" customWidth="1"/>
    <col min="10766" max="10766" width="13.140625" customWidth="1"/>
    <col min="11009" max="11009" width="6.140625" customWidth="1"/>
    <col min="11010" max="11010" width="21.140625" customWidth="1"/>
    <col min="11011" max="11011" width="16.140625" customWidth="1"/>
    <col min="11012" max="11012" width="10.85546875" customWidth="1"/>
    <col min="11013" max="11013" width="12.5703125" customWidth="1"/>
    <col min="11014" max="11014" width="10.5703125" customWidth="1"/>
    <col min="11016" max="11016" width="11.7109375" customWidth="1"/>
    <col min="11017" max="11017" width="10.28515625" customWidth="1"/>
    <col min="11018" max="11018" width="10.85546875" customWidth="1"/>
    <col min="11020" max="11020" width="11.28515625" bestFit="1" customWidth="1"/>
    <col min="11021" max="11021" width="11" customWidth="1"/>
    <col min="11022" max="11022" width="13.140625" customWidth="1"/>
    <col min="11265" max="11265" width="6.140625" customWidth="1"/>
    <col min="11266" max="11266" width="21.140625" customWidth="1"/>
    <col min="11267" max="11267" width="16.140625" customWidth="1"/>
    <col min="11268" max="11268" width="10.85546875" customWidth="1"/>
    <col min="11269" max="11269" width="12.5703125" customWidth="1"/>
    <col min="11270" max="11270" width="10.5703125" customWidth="1"/>
    <col min="11272" max="11272" width="11.7109375" customWidth="1"/>
    <col min="11273" max="11273" width="10.28515625" customWidth="1"/>
    <col min="11274" max="11274" width="10.85546875" customWidth="1"/>
    <col min="11276" max="11276" width="11.28515625" bestFit="1" customWidth="1"/>
    <col min="11277" max="11277" width="11" customWidth="1"/>
    <col min="11278" max="11278" width="13.140625" customWidth="1"/>
    <col min="11521" max="11521" width="6.140625" customWidth="1"/>
    <col min="11522" max="11522" width="21.140625" customWidth="1"/>
    <col min="11523" max="11523" width="16.140625" customWidth="1"/>
    <col min="11524" max="11524" width="10.85546875" customWidth="1"/>
    <col min="11525" max="11525" width="12.5703125" customWidth="1"/>
    <col min="11526" max="11526" width="10.5703125" customWidth="1"/>
    <col min="11528" max="11528" width="11.7109375" customWidth="1"/>
    <col min="11529" max="11529" width="10.28515625" customWidth="1"/>
    <col min="11530" max="11530" width="10.85546875" customWidth="1"/>
    <col min="11532" max="11532" width="11.28515625" bestFit="1" customWidth="1"/>
    <col min="11533" max="11533" width="11" customWidth="1"/>
    <col min="11534" max="11534" width="13.140625" customWidth="1"/>
    <col min="11777" max="11777" width="6.140625" customWidth="1"/>
    <col min="11778" max="11778" width="21.140625" customWidth="1"/>
    <col min="11779" max="11779" width="16.140625" customWidth="1"/>
    <col min="11780" max="11780" width="10.85546875" customWidth="1"/>
    <col min="11781" max="11781" width="12.5703125" customWidth="1"/>
    <col min="11782" max="11782" width="10.5703125" customWidth="1"/>
    <col min="11784" max="11784" width="11.7109375" customWidth="1"/>
    <col min="11785" max="11785" width="10.28515625" customWidth="1"/>
    <col min="11786" max="11786" width="10.85546875" customWidth="1"/>
    <col min="11788" max="11788" width="11.28515625" bestFit="1" customWidth="1"/>
    <col min="11789" max="11789" width="11" customWidth="1"/>
    <col min="11790" max="11790" width="13.140625" customWidth="1"/>
    <col min="12033" max="12033" width="6.140625" customWidth="1"/>
    <col min="12034" max="12034" width="21.140625" customWidth="1"/>
    <col min="12035" max="12035" width="16.140625" customWidth="1"/>
    <col min="12036" max="12036" width="10.85546875" customWidth="1"/>
    <col min="12037" max="12037" width="12.5703125" customWidth="1"/>
    <col min="12038" max="12038" width="10.5703125" customWidth="1"/>
    <col min="12040" max="12040" width="11.7109375" customWidth="1"/>
    <col min="12041" max="12041" width="10.28515625" customWidth="1"/>
    <col min="12042" max="12042" width="10.85546875" customWidth="1"/>
    <col min="12044" max="12044" width="11.28515625" bestFit="1" customWidth="1"/>
    <col min="12045" max="12045" width="11" customWidth="1"/>
    <col min="12046" max="12046" width="13.140625" customWidth="1"/>
    <col min="12289" max="12289" width="6.140625" customWidth="1"/>
    <col min="12290" max="12290" width="21.140625" customWidth="1"/>
    <col min="12291" max="12291" width="16.140625" customWidth="1"/>
    <col min="12292" max="12292" width="10.85546875" customWidth="1"/>
    <col min="12293" max="12293" width="12.5703125" customWidth="1"/>
    <col min="12294" max="12294" width="10.5703125" customWidth="1"/>
    <col min="12296" max="12296" width="11.7109375" customWidth="1"/>
    <col min="12297" max="12297" width="10.28515625" customWidth="1"/>
    <col min="12298" max="12298" width="10.85546875" customWidth="1"/>
    <col min="12300" max="12300" width="11.28515625" bestFit="1" customWidth="1"/>
    <col min="12301" max="12301" width="11" customWidth="1"/>
    <col min="12302" max="12302" width="13.140625" customWidth="1"/>
    <col min="12545" max="12545" width="6.140625" customWidth="1"/>
    <col min="12546" max="12546" width="21.140625" customWidth="1"/>
    <col min="12547" max="12547" width="16.140625" customWidth="1"/>
    <col min="12548" max="12548" width="10.85546875" customWidth="1"/>
    <col min="12549" max="12549" width="12.5703125" customWidth="1"/>
    <col min="12550" max="12550" width="10.5703125" customWidth="1"/>
    <col min="12552" max="12552" width="11.7109375" customWidth="1"/>
    <col min="12553" max="12553" width="10.28515625" customWidth="1"/>
    <col min="12554" max="12554" width="10.85546875" customWidth="1"/>
    <col min="12556" max="12556" width="11.28515625" bestFit="1" customWidth="1"/>
    <col min="12557" max="12557" width="11" customWidth="1"/>
    <col min="12558" max="12558" width="13.140625" customWidth="1"/>
    <col min="12801" max="12801" width="6.140625" customWidth="1"/>
    <col min="12802" max="12802" width="21.140625" customWidth="1"/>
    <col min="12803" max="12803" width="16.140625" customWidth="1"/>
    <col min="12804" max="12804" width="10.85546875" customWidth="1"/>
    <col min="12805" max="12805" width="12.5703125" customWidth="1"/>
    <col min="12806" max="12806" width="10.5703125" customWidth="1"/>
    <col min="12808" max="12808" width="11.7109375" customWidth="1"/>
    <col min="12809" max="12809" width="10.28515625" customWidth="1"/>
    <col min="12810" max="12810" width="10.85546875" customWidth="1"/>
    <col min="12812" max="12812" width="11.28515625" bestFit="1" customWidth="1"/>
    <col min="12813" max="12813" width="11" customWidth="1"/>
    <col min="12814" max="12814" width="13.140625" customWidth="1"/>
    <col min="13057" max="13057" width="6.140625" customWidth="1"/>
    <col min="13058" max="13058" width="21.140625" customWidth="1"/>
    <col min="13059" max="13059" width="16.140625" customWidth="1"/>
    <col min="13060" max="13060" width="10.85546875" customWidth="1"/>
    <col min="13061" max="13061" width="12.5703125" customWidth="1"/>
    <col min="13062" max="13062" width="10.5703125" customWidth="1"/>
    <col min="13064" max="13064" width="11.7109375" customWidth="1"/>
    <col min="13065" max="13065" width="10.28515625" customWidth="1"/>
    <col min="13066" max="13066" width="10.85546875" customWidth="1"/>
    <col min="13068" max="13068" width="11.28515625" bestFit="1" customWidth="1"/>
    <col min="13069" max="13069" width="11" customWidth="1"/>
    <col min="13070" max="13070" width="13.140625" customWidth="1"/>
    <col min="13313" max="13313" width="6.140625" customWidth="1"/>
    <col min="13314" max="13314" width="21.140625" customWidth="1"/>
    <col min="13315" max="13315" width="16.140625" customWidth="1"/>
    <col min="13316" max="13316" width="10.85546875" customWidth="1"/>
    <col min="13317" max="13317" width="12.5703125" customWidth="1"/>
    <col min="13318" max="13318" width="10.5703125" customWidth="1"/>
    <col min="13320" max="13320" width="11.7109375" customWidth="1"/>
    <col min="13321" max="13321" width="10.28515625" customWidth="1"/>
    <col min="13322" max="13322" width="10.85546875" customWidth="1"/>
    <col min="13324" max="13324" width="11.28515625" bestFit="1" customWidth="1"/>
    <col min="13325" max="13325" width="11" customWidth="1"/>
    <col min="13326" max="13326" width="13.140625" customWidth="1"/>
    <col min="13569" max="13569" width="6.140625" customWidth="1"/>
    <col min="13570" max="13570" width="21.140625" customWidth="1"/>
    <col min="13571" max="13571" width="16.140625" customWidth="1"/>
    <col min="13572" max="13572" width="10.85546875" customWidth="1"/>
    <col min="13573" max="13573" width="12.5703125" customWidth="1"/>
    <col min="13574" max="13574" width="10.5703125" customWidth="1"/>
    <col min="13576" max="13576" width="11.7109375" customWidth="1"/>
    <col min="13577" max="13577" width="10.28515625" customWidth="1"/>
    <col min="13578" max="13578" width="10.85546875" customWidth="1"/>
    <col min="13580" max="13580" width="11.28515625" bestFit="1" customWidth="1"/>
    <col min="13581" max="13581" width="11" customWidth="1"/>
    <col min="13582" max="13582" width="13.140625" customWidth="1"/>
    <col min="13825" max="13825" width="6.140625" customWidth="1"/>
    <col min="13826" max="13826" width="21.140625" customWidth="1"/>
    <col min="13827" max="13827" width="16.140625" customWidth="1"/>
    <col min="13828" max="13828" width="10.85546875" customWidth="1"/>
    <col min="13829" max="13829" width="12.5703125" customWidth="1"/>
    <col min="13830" max="13830" width="10.5703125" customWidth="1"/>
    <col min="13832" max="13832" width="11.7109375" customWidth="1"/>
    <col min="13833" max="13833" width="10.28515625" customWidth="1"/>
    <col min="13834" max="13834" width="10.85546875" customWidth="1"/>
    <col min="13836" max="13836" width="11.28515625" bestFit="1" customWidth="1"/>
    <col min="13837" max="13837" width="11" customWidth="1"/>
    <col min="13838" max="13838" width="13.140625" customWidth="1"/>
    <col min="14081" max="14081" width="6.140625" customWidth="1"/>
    <col min="14082" max="14082" width="21.140625" customWidth="1"/>
    <col min="14083" max="14083" width="16.140625" customWidth="1"/>
    <col min="14084" max="14084" width="10.85546875" customWidth="1"/>
    <col min="14085" max="14085" width="12.5703125" customWidth="1"/>
    <col min="14086" max="14086" width="10.5703125" customWidth="1"/>
    <col min="14088" max="14088" width="11.7109375" customWidth="1"/>
    <col min="14089" max="14089" width="10.28515625" customWidth="1"/>
    <col min="14090" max="14090" width="10.85546875" customWidth="1"/>
    <col min="14092" max="14092" width="11.28515625" bestFit="1" customWidth="1"/>
    <col min="14093" max="14093" width="11" customWidth="1"/>
    <col min="14094" max="14094" width="13.140625" customWidth="1"/>
    <col min="14337" max="14337" width="6.140625" customWidth="1"/>
    <col min="14338" max="14338" width="21.140625" customWidth="1"/>
    <col min="14339" max="14339" width="16.140625" customWidth="1"/>
    <col min="14340" max="14340" width="10.85546875" customWidth="1"/>
    <col min="14341" max="14341" width="12.5703125" customWidth="1"/>
    <col min="14342" max="14342" width="10.5703125" customWidth="1"/>
    <col min="14344" max="14344" width="11.7109375" customWidth="1"/>
    <col min="14345" max="14345" width="10.28515625" customWidth="1"/>
    <col min="14346" max="14346" width="10.85546875" customWidth="1"/>
    <col min="14348" max="14348" width="11.28515625" bestFit="1" customWidth="1"/>
    <col min="14349" max="14349" width="11" customWidth="1"/>
    <col min="14350" max="14350" width="13.140625" customWidth="1"/>
    <col min="14593" max="14593" width="6.140625" customWidth="1"/>
    <col min="14594" max="14594" width="21.140625" customWidth="1"/>
    <col min="14595" max="14595" width="16.140625" customWidth="1"/>
    <col min="14596" max="14596" width="10.85546875" customWidth="1"/>
    <col min="14597" max="14597" width="12.5703125" customWidth="1"/>
    <col min="14598" max="14598" width="10.5703125" customWidth="1"/>
    <col min="14600" max="14600" width="11.7109375" customWidth="1"/>
    <col min="14601" max="14601" width="10.28515625" customWidth="1"/>
    <col min="14602" max="14602" width="10.85546875" customWidth="1"/>
    <col min="14604" max="14604" width="11.28515625" bestFit="1" customWidth="1"/>
    <col min="14605" max="14605" width="11" customWidth="1"/>
    <col min="14606" max="14606" width="13.140625" customWidth="1"/>
    <col min="14849" max="14849" width="6.140625" customWidth="1"/>
    <col min="14850" max="14850" width="21.140625" customWidth="1"/>
    <col min="14851" max="14851" width="16.140625" customWidth="1"/>
    <col min="14852" max="14852" width="10.85546875" customWidth="1"/>
    <col min="14853" max="14853" width="12.5703125" customWidth="1"/>
    <col min="14854" max="14854" width="10.5703125" customWidth="1"/>
    <col min="14856" max="14856" width="11.7109375" customWidth="1"/>
    <col min="14857" max="14857" width="10.28515625" customWidth="1"/>
    <col min="14858" max="14858" width="10.85546875" customWidth="1"/>
    <col min="14860" max="14860" width="11.28515625" bestFit="1" customWidth="1"/>
    <col min="14861" max="14861" width="11" customWidth="1"/>
    <col min="14862" max="14862" width="13.140625" customWidth="1"/>
    <col min="15105" max="15105" width="6.140625" customWidth="1"/>
    <col min="15106" max="15106" width="21.140625" customWidth="1"/>
    <col min="15107" max="15107" width="16.140625" customWidth="1"/>
    <col min="15108" max="15108" width="10.85546875" customWidth="1"/>
    <col min="15109" max="15109" width="12.5703125" customWidth="1"/>
    <col min="15110" max="15110" width="10.5703125" customWidth="1"/>
    <col min="15112" max="15112" width="11.7109375" customWidth="1"/>
    <col min="15113" max="15113" width="10.28515625" customWidth="1"/>
    <col min="15114" max="15114" width="10.85546875" customWidth="1"/>
    <col min="15116" max="15116" width="11.28515625" bestFit="1" customWidth="1"/>
    <col min="15117" max="15117" width="11" customWidth="1"/>
    <col min="15118" max="15118" width="13.140625" customWidth="1"/>
    <col min="15361" max="15361" width="6.140625" customWidth="1"/>
    <col min="15362" max="15362" width="21.140625" customWidth="1"/>
    <col min="15363" max="15363" width="16.140625" customWidth="1"/>
    <col min="15364" max="15364" width="10.85546875" customWidth="1"/>
    <col min="15365" max="15365" width="12.5703125" customWidth="1"/>
    <col min="15366" max="15366" width="10.5703125" customWidth="1"/>
    <col min="15368" max="15368" width="11.7109375" customWidth="1"/>
    <col min="15369" max="15369" width="10.28515625" customWidth="1"/>
    <col min="15370" max="15370" width="10.85546875" customWidth="1"/>
    <col min="15372" max="15372" width="11.28515625" bestFit="1" customWidth="1"/>
    <col min="15373" max="15373" width="11" customWidth="1"/>
    <col min="15374" max="15374" width="13.140625" customWidth="1"/>
    <col min="15617" max="15617" width="6.140625" customWidth="1"/>
    <col min="15618" max="15618" width="21.140625" customWidth="1"/>
    <col min="15619" max="15619" width="16.140625" customWidth="1"/>
    <col min="15620" max="15620" width="10.85546875" customWidth="1"/>
    <col min="15621" max="15621" width="12.5703125" customWidth="1"/>
    <col min="15622" max="15622" width="10.5703125" customWidth="1"/>
    <col min="15624" max="15624" width="11.7109375" customWidth="1"/>
    <col min="15625" max="15625" width="10.28515625" customWidth="1"/>
    <col min="15626" max="15626" width="10.85546875" customWidth="1"/>
    <col min="15628" max="15628" width="11.28515625" bestFit="1" customWidth="1"/>
    <col min="15629" max="15629" width="11" customWidth="1"/>
    <col min="15630" max="15630" width="13.140625" customWidth="1"/>
    <col min="15873" max="15873" width="6.140625" customWidth="1"/>
    <col min="15874" max="15874" width="21.140625" customWidth="1"/>
    <col min="15875" max="15875" width="16.140625" customWidth="1"/>
    <col min="15876" max="15876" width="10.85546875" customWidth="1"/>
    <col min="15877" max="15877" width="12.5703125" customWidth="1"/>
    <col min="15878" max="15878" width="10.5703125" customWidth="1"/>
    <col min="15880" max="15880" width="11.7109375" customWidth="1"/>
    <col min="15881" max="15881" width="10.28515625" customWidth="1"/>
    <col min="15882" max="15882" width="10.85546875" customWidth="1"/>
    <col min="15884" max="15884" width="11.28515625" bestFit="1" customWidth="1"/>
    <col min="15885" max="15885" width="11" customWidth="1"/>
    <col min="15886" max="15886" width="13.140625" customWidth="1"/>
    <col min="16129" max="16129" width="6.140625" customWidth="1"/>
    <col min="16130" max="16130" width="21.140625" customWidth="1"/>
    <col min="16131" max="16131" width="16.140625" customWidth="1"/>
    <col min="16132" max="16132" width="10.85546875" customWidth="1"/>
    <col min="16133" max="16133" width="12.5703125" customWidth="1"/>
    <col min="16134" max="16134" width="10.5703125" customWidth="1"/>
    <col min="16136" max="16136" width="11.7109375" customWidth="1"/>
    <col min="16137" max="16137" width="10.28515625" customWidth="1"/>
    <col min="16138" max="16138" width="10.85546875" customWidth="1"/>
    <col min="16140" max="16140" width="11.28515625" bestFit="1" customWidth="1"/>
    <col min="16141" max="16141" width="11" customWidth="1"/>
    <col min="16142" max="16142" width="13.140625" customWidth="1"/>
  </cols>
  <sheetData>
    <row r="2" spans="1:14">
      <c r="A2" s="513"/>
      <c r="B2" s="513"/>
      <c r="C2" s="513"/>
      <c r="D2" s="514"/>
      <c r="E2" s="514"/>
      <c r="F2" s="515"/>
      <c r="G2" s="515"/>
      <c r="H2" s="515"/>
      <c r="I2" s="515"/>
      <c r="J2" s="515"/>
      <c r="K2" s="516"/>
      <c r="L2" s="516"/>
      <c r="M2" s="516"/>
      <c r="N2" s="516"/>
    </row>
    <row r="3" spans="1:14" ht="16.5">
      <c r="A3" s="513"/>
      <c r="B3" s="513" t="s">
        <v>983</v>
      </c>
      <c r="C3" s="1275" t="s">
        <v>984</v>
      </c>
      <c r="D3" s="1275"/>
      <c r="E3" s="1275"/>
      <c r="F3" s="1275"/>
      <c r="G3" s="1275"/>
      <c r="H3" s="1275"/>
      <c r="I3" s="1275"/>
      <c r="J3" s="1275"/>
      <c r="K3" s="1275"/>
      <c r="L3" s="1275"/>
      <c r="M3" s="1275"/>
      <c r="N3" s="517"/>
    </row>
    <row r="4" spans="1:14" ht="15">
      <c r="A4" s="513"/>
      <c r="B4" s="513"/>
      <c r="C4" s="518"/>
      <c r="D4" s="514"/>
      <c r="E4" s="514"/>
      <c r="F4" s="514"/>
      <c r="G4" s="514"/>
      <c r="H4" s="514"/>
      <c r="I4" s="514"/>
      <c r="J4" s="514"/>
      <c r="K4" s="514"/>
      <c r="L4" s="514"/>
      <c r="M4" s="519"/>
      <c r="N4" s="517"/>
    </row>
    <row r="5" spans="1:14" ht="15">
      <c r="A5" s="513"/>
      <c r="B5" s="513"/>
      <c r="C5" s="513"/>
      <c r="D5" s="514"/>
      <c r="E5" s="514"/>
      <c r="F5" s="514"/>
      <c r="G5" s="514"/>
      <c r="H5" s="514"/>
      <c r="I5" s="514"/>
      <c r="J5" s="514"/>
      <c r="K5" s="514"/>
      <c r="L5" s="514"/>
      <c r="M5" s="519"/>
      <c r="N5" s="517"/>
    </row>
    <row r="6" spans="1:14">
      <c r="A6" s="1276" t="s">
        <v>171</v>
      </c>
      <c r="B6" s="1279" t="s">
        <v>985</v>
      </c>
      <c r="C6" s="1279" t="s">
        <v>172</v>
      </c>
      <c r="D6" s="1280" t="s">
        <v>986</v>
      </c>
      <c r="E6" s="1283" t="s">
        <v>987</v>
      </c>
      <c r="F6" s="1286"/>
      <c r="G6" s="1287"/>
      <c r="H6" s="1287"/>
      <c r="I6" s="1287"/>
      <c r="J6" s="1287"/>
      <c r="K6" s="1287"/>
      <c r="L6" s="1288"/>
      <c r="M6" s="1267" t="s">
        <v>988</v>
      </c>
      <c r="N6" s="1274" t="s">
        <v>989</v>
      </c>
    </row>
    <row r="7" spans="1:14">
      <c r="A7" s="1277"/>
      <c r="B7" s="1279"/>
      <c r="C7" s="1279"/>
      <c r="D7" s="1281"/>
      <c r="E7" s="1284"/>
      <c r="F7" s="1267" t="s">
        <v>990</v>
      </c>
      <c r="G7" s="1267" t="s">
        <v>991</v>
      </c>
      <c r="H7" s="1267" t="s">
        <v>530</v>
      </c>
      <c r="I7" s="1267" t="s">
        <v>992</v>
      </c>
      <c r="J7" s="1267" t="s">
        <v>993</v>
      </c>
      <c r="K7" s="1267" t="s">
        <v>994</v>
      </c>
      <c r="L7" s="1267" t="s">
        <v>995</v>
      </c>
      <c r="M7" s="1267"/>
      <c r="N7" s="1274"/>
    </row>
    <row r="8" spans="1:14" ht="45" customHeight="1">
      <c r="A8" s="1278"/>
      <c r="B8" s="1279"/>
      <c r="C8" s="1279"/>
      <c r="D8" s="1282"/>
      <c r="E8" s="1285"/>
      <c r="F8" s="1267"/>
      <c r="G8" s="1267" t="s">
        <v>991</v>
      </c>
      <c r="H8" s="1267" t="s">
        <v>991</v>
      </c>
      <c r="I8" s="1267"/>
      <c r="J8" s="1267"/>
      <c r="K8" s="1267"/>
      <c r="L8" s="1267"/>
      <c r="M8" s="1267"/>
      <c r="N8" s="1274"/>
    </row>
    <row r="9" spans="1:14">
      <c r="A9" s="520">
        <v>1</v>
      </c>
      <c r="B9" s="520">
        <v>2</v>
      </c>
      <c r="C9" s="520">
        <v>3</v>
      </c>
      <c r="D9" s="520">
        <v>4</v>
      </c>
      <c r="E9" s="520">
        <v>5</v>
      </c>
      <c r="F9" s="520">
        <v>6</v>
      </c>
      <c r="G9" s="520">
        <v>7</v>
      </c>
      <c r="H9" s="520">
        <v>8</v>
      </c>
      <c r="I9" s="520">
        <v>9</v>
      </c>
      <c r="J9" s="520">
        <v>10</v>
      </c>
      <c r="K9" s="520">
        <v>11</v>
      </c>
      <c r="L9" s="520">
        <v>12</v>
      </c>
      <c r="M9" s="521">
        <v>13</v>
      </c>
      <c r="N9" s="522">
        <v>14</v>
      </c>
    </row>
    <row r="10" spans="1:14">
      <c r="A10" s="520">
        <v>1</v>
      </c>
      <c r="B10" s="523" t="s">
        <v>996</v>
      </c>
      <c r="C10" s="520" t="s">
        <v>807</v>
      </c>
      <c r="D10" s="520" t="s">
        <v>997</v>
      </c>
      <c r="E10" s="524">
        <v>824886</v>
      </c>
      <c r="F10" s="520"/>
      <c r="G10" s="520"/>
      <c r="H10" s="520">
        <v>132000</v>
      </c>
      <c r="I10" s="520">
        <v>26400</v>
      </c>
      <c r="J10" s="520"/>
      <c r="K10" s="520"/>
      <c r="L10" s="525">
        <f>+E10*0.8</f>
        <v>659908.80000000005</v>
      </c>
      <c r="M10" s="526">
        <f>F10+G10+H10+I10+J10+K10+L10</f>
        <v>818308.8</v>
      </c>
      <c r="N10" s="527">
        <f>+E10+M10</f>
        <v>1643194.8</v>
      </c>
    </row>
    <row r="11" spans="1:14" ht="19.5" customHeight="1">
      <c r="A11" s="1268" t="s">
        <v>998</v>
      </c>
      <c r="B11" s="1269"/>
      <c r="C11" s="1269"/>
      <c r="D11" s="1270"/>
      <c r="E11" s="525"/>
      <c r="F11" s="525"/>
      <c r="G11" s="525"/>
      <c r="H11" s="520"/>
      <c r="I11" s="520"/>
      <c r="J11" s="525"/>
      <c r="K11" s="525"/>
      <c r="L11" s="525">
        <f t="shared" ref="L11:L74" si="0">+E11*0.8</f>
        <v>0</v>
      </c>
      <c r="M11" s="526">
        <f t="shared" ref="M11:M74" si="1">F11+G11+H11+I11+J11+K11+L11</f>
        <v>0</v>
      </c>
      <c r="N11" s="527">
        <f t="shared" ref="N11:N74" si="2">+E11+M11</f>
        <v>0</v>
      </c>
    </row>
    <row r="12" spans="1:14" ht="16.5" customHeight="1">
      <c r="A12" s="521">
        <v>2</v>
      </c>
      <c r="B12" s="528" t="s">
        <v>999</v>
      </c>
      <c r="C12" s="529" t="s">
        <v>240</v>
      </c>
      <c r="D12" s="521" t="s">
        <v>241</v>
      </c>
      <c r="E12" s="530">
        <v>772530</v>
      </c>
      <c r="F12" s="530"/>
      <c r="G12" s="530"/>
      <c r="H12" s="520">
        <v>132000</v>
      </c>
      <c r="I12" s="520">
        <v>26400</v>
      </c>
      <c r="J12" s="530"/>
      <c r="K12" s="530"/>
      <c r="L12" s="525">
        <f t="shared" si="0"/>
        <v>618024</v>
      </c>
      <c r="M12" s="526">
        <f t="shared" si="1"/>
        <v>776424</v>
      </c>
      <c r="N12" s="527">
        <f t="shared" si="2"/>
        <v>1548954</v>
      </c>
    </row>
    <row r="13" spans="1:14" ht="18.75" customHeight="1">
      <c r="A13" s="521">
        <v>3</v>
      </c>
      <c r="B13" s="528" t="s">
        <v>1000</v>
      </c>
      <c r="C13" s="529" t="s">
        <v>245</v>
      </c>
      <c r="D13" s="529" t="s">
        <v>254</v>
      </c>
      <c r="E13" s="530">
        <v>659000</v>
      </c>
      <c r="F13" s="530">
        <f>+E13*0.2</f>
        <v>131800</v>
      </c>
      <c r="G13" s="530"/>
      <c r="H13" s="520">
        <v>132000</v>
      </c>
      <c r="I13" s="520">
        <v>26400</v>
      </c>
      <c r="J13" s="530">
        <f>+E13*0.1</f>
        <v>65900</v>
      </c>
      <c r="K13" s="530"/>
      <c r="L13" s="525">
        <f t="shared" si="0"/>
        <v>527200</v>
      </c>
      <c r="M13" s="526">
        <f t="shared" si="1"/>
        <v>883300</v>
      </c>
      <c r="N13" s="527">
        <f t="shared" si="2"/>
        <v>1542300</v>
      </c>
    </row>
    <row r="14" spans="1:14" ht="16.5" customHeight="1">
      <c r="A14" s="521">
        <v>4</v>
      </c>
      <c r="B14" s="528" t="s">
        <v>429</v>
      </c>
      <c r="C14" s="529" t="s">
        <v>245</v>
      </c>
      <c r="D14" s="529" t="s">
        <v>1001</v>
      </c>
      <c r="E14" s="530">
        <v>574298</v>
      </c>
      <c r="F14" s="530"/>
      <c r="G14" s="530"/>
      <c r="H14" s="520">
        <v>132000</v>
      </c>
      <c r="I14" s="520">
        <v>26400</v>
      </c>
      <c r="J14" s="530"/>
      <c r="K14" s="530"/>
      <c r="L14" s="525">
        <f t="shared" si="0"/>
        <v>459438.4</v>
      </c>
      <c r="M14" s="526">
        <f t="shared" si="1"/>
        <v>617838.4</v>
      </c>
      <c r="N14" s="527">
        <f t="shared" si="2"/>
        <v>1192136.3999999999</v>
      </c>
    </row>
    <row r="15" spans="1:14" ht="17.25" customHeight="1">
      <c r="A15" s="521">
        <v>5</v>
      </c>
      <c r="B15" s="531" t="s">
        <v>1002</v>
      </c>
      <c r="C15" s="529" t="s">
        <v>253</v>
      </c>
      <c r="D15" s="529" t="s">
        <v>264</v>
      </c>
      <c r="E15" s="530">
        <v>558559</v>
      </c>
      <c r="F15" s="526"/>
      <c r="G15" s="526"/>
      <c r="H15" s="520">
        <v>132000</v>
      </c>
      <c r="I15" s="520">
        <v>26400</v>
      </c>
      <c r="J15" s="526"/>
      <c r="K15" s="526"/>
      <c r="L15" s="525">
        <f t="shared" si="0"/>
        <v>446847.2</v>
      </c>
      <c r="M15" s="526">
        <f t="shared" si="1"/>
        <v>605247.19999999995</v>
      </c>
      <c r="N15" s="527">
        <f t="shared" si="2"/>
        <v>1163806.2</v>
      </c>
    </row>
    <row r="16" spans="1:14" ht="16.5" customHeight="1">
      <c r="A16" s="521">
        <v>6</v>
      </c>
      <c r="B16" s="528" t="s">
        <v>1003</v>
      </c>
      <c r="C16" s="529" t="s">
        <v>245</v>
      </c>
      <c r="D16" s="529" t="s">
        <v>251</v>
      </c>
      <c r="E16" s="530">
        <v>558559</v>
      </c>
      <c r="F16" s="530"/>
      <c r="G16" s="530"/>
      <c r="H16" s="520">
        <v>132000</v>
      </c>
      <c r="I16" s="520">
        <v>26400</v>
      </c>
      <c r="J16" s="530"/>
      <c r="K16" s="530"/>
      <c r="L16" s="525">
        <f t="shared" si="0"/>
        <v>446847.2</v>
      </c>
      <c r="M16" s="526">
        <f t="shared" si="1"/>
        <v>605247.19999999995</v>
      </c>
      <c r="N16" s="527">
        <f t="shared" si="2"/>
        <v>1163806.2</v>
      </c>
    </row>
    <row r="17" spans="1:14" ht="18.75" customHeight="1">
      <c r="A17" s="521">
        <v>7</v>
      </c>
      <c r="B17" s="528" t="s">
        <v>256</v>
      </c>
      <c r="C17" s="529" t="s">
        <v>253</v>
      </c>
      <c r="D17" s="529" t="s">
        <v>244</v>
      </c>
      <c r="E17" s="530">
        <v>634906</v>
      </c>
      <c r="F17" s="530">
        <f>+E17*0.2</f>
        <v>126981.20000000001</v>
      </c>
      <c r="G17" s="530"/>
      <c r="H17" s="520">
        <v>132000</v>
      </c>
      <c r="I17" s="520">
        <v>26400</v>
      </c>
      <c r="J17" s="530">
        <f>+E17*0.1</f>
        <v>63490.600000000006</v>
      </c>
      <c r="K17" s="530"/>
      <c r="L17" s="525">
        <f t="shared" si="0"/>
        <v>507924.80000000005</v>
      </c>
      <c r="M17" s="526">
        <f t="shared" si="1"/>
        <v>856796.60000000009</v>
      </c>
      <c r="N17" s="527">
        <f t="shared" si="2"/>
        <v>1491702.6</v>
      </c>
    </row>
    <row r="18" spans="1:14" ht="17.25" customHeight="1">
      <c r="A18" s="521">
        <v>8</v>
      </c>
      <c r="B18" s="532" t="s">
        <v>260</v>
      </c>
      <c r="C18" s="529" t="s">
        <v>253</v>
      </c>
      <c r="D18" s="529" t="s">
        <v>244</v>
      </c>
      <c r="E18" s="530">
        <v>634906</v>
      </c>
      <c r="F18" s="530">
        <f>+E18*0.3</f>
        <v>190471.8</v>
      </c>
      <c r="G18" s="530"/>
      <c r="H18" s="520">
        <v>132000</v>
      </c>
      <c r="I18" s="520">
        <v>26400</v>
      </c>
      <c r="J18" s="530">
        <f>+E18*0.15</f>
        <v>95235.9</v>
      </c>
      <c r="K18" s="530"/>
      <c r="L18" s="525">
        <f t="shared" si="0"/>
        <v>507924.80000000005</v>
      </c>
      <c r="M18" s="526">
        <f t="shared" si="1"/>
        <v>952032.5</v>
      </c>
      <c r="N18" s="527">
        <f t="shared" si="2"/>
        <v>1586938.5</v>
      </c>
    </row>
    <row r="19" spans="1:14" ht="17.25" customHeight="1">
      <c r="A19" s="521">
        <v>9</v>
      </c>
      <c r="B19" s="531" t="s">
        <v>779</v>
      </c>
      <c r="C19" s="529" t="s">
        <v>253</v>
      </c>
      <c r="D19" s="529" t="s">
        <v>264</v>
      </c>
      <c r="E19" s="530">
        <v>558559</v>
      </c>
      <c r="F19" s="526"/>
      <c r="G19" s="526"/>
      <c r="H19" s="520">
        <v>132000</v>
      </c>
      <c r="I19" s="520">
        <v>26400</v>
      </c>
      <c r="J19" s="526"/>
      <c r="K19" s="526"/>
      <c r="L19" s="525">
        <f t="shared" si="0"/>
        <v>446847.2</v>
      </c>
      <c r="M19" s="526">
        <f t="shared" si="1"/>
        <v>605247.19999999995</v>
      </c>
      <c r="N19" s="527">
        <f t="shared" si="2"/>
        <v>1163806.2</v>
      </c>
    </row>
    <row r="20" spans="1:14" ht="21" customHeight="1">
      <c r="A20" s="521">
        <v>10</v>
      </c>
      <c r="B20" s="528" t="s">
        <v>1004</v>
      </c>
      <c r="C20" s="529" t="s">
        <v>1005</v>
      </c>
      <c r="D20" s="529" t="s">
        <v>1006</v>
      </c>
      <c r="E20" s="530">
        <v>660752</v>
      </c>
      <c r="F20" s="530">
        <f>+E20*0.3</f>
        <v>198225.6</v>
      </c>
      <c r="G20" s="530"/>
      <c r="H20" s="520">
        <v>132000</v>
      </c>
      <c r="I20" s="520">
        <v>26400</v>
      </c>
      <c r="J20" s="530"/>
      <c r="K20" s="530"/>
      <c r="L20" s="525">
        <f t="shared" si="0"/>
        <v>528601.59999999998</v>
      </c>
      <c r="M20" s="526">
        <f t="shared" si="1"/>
        <v>885227.2</v>
      </c>
      <c r="N20" s="527">
        <f t="shared" si="2"/>
        <v>1545979.2</v>
      </c>
    </row>
    <row r="21" spans="1:14">
      <c r="A21" s="521">
        <v>11</v>
      </c>
      <c r="B21" s="528" t="s">
        <v>252</v>
      </c>
      <c r="C21" s="529" t="s">
        <v>245</v>
      </c>
      <c r="D21" s="529" t="s">
        <v>244</v>
      </c>
      <c r="E21" s="530">
        <v>634912</v>
      </c>
      <c r="F21" s="530">
        <f>+E21*0.2</f>
        <v>126982.40000000001</v>
      </c>
      <c r="G21" s="530"/>
      <c r="H21" s="520">
        <v>132000</v>
      </c>
      <c r="I21" s="520">
        <v>26400</v>
      </c>
      <c r="J21" s="530"/>
      <c r="K21" s="530"/>
      <c r="L21" s="525">
        <f t="shared" si="0"/>
        <v>507929.60000000003</v>
      </c>
      <c r="M21" s="526">
        <f t="shared" si="1"/>
        <v>793312</v>
      </c>
      <c r="N21" s="527">
        <f t="shared" si="2"/>
        <v>1428224</v>
      </c>
    </row>
    <row r="22" spans="1:14">
      <c r="A22" s="521">
        <v>12</v>
      </c>
      <c r="B22" s="531" t="s">
        <v>1007</v>
      </c>
      <c r="C22" s="529" t="s">
        <v>245</v>
      </c>
      <c r="D22" s="529" t="s">
        <v>264</v>
      </c>
      <c r="E22" s="530">
        <v>558559</v>
      </c>
      <c r="F22" s="526"/>
      <c r="G22" s="526"/>
      <c r="H22" s="520">
        <v>132000</v>
      </c>
      <c r="I22" s="520">
        <v>26400</v>
      </c>
      <c r="J22" s="526"/>
      <c r="K22" s="526"/>
      <c r="L22" s="525">
        <f t="shared" si="0"/>
        <v>446847.2</v>
      </c>
      <c r="M22" s="526">
        <f t="shared" si="1"/>
        <v>605247.19999999995</v>
      </c>
      <c r="N22" s="527">
        <f t="shared" si="2"/>
        <v>1163806.2</v>
      </c>
    </row>
    <row r="23" spans="1:14">
      <c r="A23" s="1264" t="s">
        <v>1008</v>
      </c>
      <c r="B23" s="1265"/>
      <c r="C23" s="1265"/>
      <c r="D23" s="1266"/>
      <c r="E23" s="530"/>
      <c r="F23" s="533"/>
      <c r="G23" s="533"/>
      <c r="H23" s="520"/>
      <c r="I23" s="520"/>
      <c r="J23" s="533"/>
      <c r="K23" s="533"/>
      <c r="L23" s="525">
        <f t="shared" si="0"/>
        <v>0</v>
      </c>
      <c r="M23" s="526">
        <f t="shared" si="1"/>
        <v>0</v>
      </c>
      <c r="N23" s="527">
        <f t="shared" si="2"/>
        <v>0</v>
      </c>
    </row>
    <row r="24" spans="1:14">
      <c r="A24" s="534">
        <v>13</v>
      </c>
      <c r="B24" s="532" t="s">
        <v>259</v>
      </c>
      <c r="C24" s="521" t="s">
        <v>826</v>
      </c>
      <c r="D24" s="521" t="s">
        <v>241</v>
      </c>
      <c r="E24" s="530">
        <v>772530</v>
      </c>
      <c r="F24" s="526">
        <v>154506</v>
      </c>
      <c r="G24" s="533"/>
      <c r="H24" s="520">
        <v>132000</v>
      </c>
      <c r="I24" s="520">
        <v>26400</v>
      </c>
      <c r="J24" s="533"/>
      <c r="K24" s="533"/>
      <c r="L24" s="525">
        <f t="shared" si="0"/>
        <v>618024</v>
      </c>
      <c r="M24" s="526">
        <f t="shared" si="1"/>
        <v>930930</v>
      </c>
      <c r="N24" s="527">
        <f t="shared" si="2"/>
        <v>1703460</v>
      </c>
    </row>
    <row r="25" spans="1:14">
      <c r="A25" s="521">
        <v>14</v>
      </c>
      <c r="B25" s="528" t="s">
        <v>1009</v>
      </c>
      <c r="C25" s="529" t="s">
        <v>1010</v>
      </c>
      <c r="D25" s="529" t="s">
        <v>1006</v>
      </c>
      <c r="E25" s="530">
        <v>690000</v>
      </c>
      <c r="F25" s="530">
        <f>+E25*0.3</f>
        <v>207000</v>
      </c>
      <c r="G25" s="530"/>
      <c r="H25" s="520">
        <v>132000</v>
      </c>
      <c r="I25" s="520">
        <v>26400</v>
      </c>
      <c r="J25" s="530">
        <f>+E25*0.1</f>
        <v>69000</v>
      </c>
      <c r="K25" s="530"/>
      <c r="L25" s="525">
        <f t="shared" si="0"/>
        <v>552000</v>
      </c>
      <c r="M25" s="526">
        <f t="shared" si="1"/>
        <v>986400</v>
      </c>
      <c r="N25" s="527">
        <f t="shared" si="2"/>
        <v>1676400</v>
      </c>
    </row>
    <row r="26" spans="1:14">
      <c r="A26" s="534">
        <v>15</v>
      </c>
      <c r="B26" s="528" t="s">
        <v>427</v>
      </c>
      <c r="C26" s="529" t="s">
        <v>163</v>
      </c>
      <c r="D26" s="529" t="s">
        <v>264</v>
      </c>
      <c r="E26" s="530">
        <v>558559</v>
      </c>
      <c r="F26" s="530"/>
      <c r="G26" s="530"/>
      <c r="H26" s="520">
        <v>132000</v>
      </c>
      <c r="I26" s="520">
        <v>26400</v>
      </c>
      <c r="J26" s="530">
        <f>+E26*0.1</f>
        <v>55855.9</v>
      </c>
      <c r="K26" s="530"/>
      <c r="L26" s="525">
        <f t="shared" si="0"/>
        <v>446847.2</v>
      </c>
      <c r="M26" s="526">
        <f t="shared" si="1"/>
        <v>661103.1</v>
      </c>
      <c r="N26" s="527">
        <f t="shared" si="2"/>
        <v>1219662.1000000001</v>
      </c>
    </row>
    <row r="27" spans="1:14">
      <c r="A27" s="521">
        <v>16</v>
      </c>
      <c r="B27" s="528" t="s">
        <v>1011</v>
      </c>
      <c r="C27" s="529" t="s">
        <v>163</v>
      </c>
      <c r="D27" s="529" t="s">
        <v>244</v>
      </c>
      <c r="E27" s="530">
        <v>634906</v>
      </c>
      <c r="F27" s="530">
        <f>+E27*0.3</f>
        <v>190471.8</v>
      </c>
      <c r="G27" s="530"/>
      <c r="H27" s="520">
        <v>132000</v>
      </c>
      <c r="I27" s="520">
        <v>26400</v>
      </c>
      <c r="J27" s="530">
        <f>+E27*0.1</f>
        <v>63490.600000000006</v>
      </c>
      <c r="K27" s="530"/>
      <c r="L27" s="525">
        <f t="shared" si="0"/>
        <v>507924.80000000005</v>
      </c>
      <c r="M27" s="526">
        <f t="shared" si="1"/>
        <v>920287.20000000007</v>
      </c>
      <c r="N27" s="527">
        <f t="shared" si="2"/>
        <v>1555193.2000000002</v>
      </c>
    </row>
    <row r="28" spans="1:14">
      <c r="A28" s="534">
        <v>17</v>
      </c>
      <c r="B28" s="528" t="s">
        <v>255</v>
      </c>
      <c r="C28" s="529" t="s">
        <v>163</v>
      </c>
      <c r="D28" s="529" t="s">
        <v>254</v>
      </c>
      <c r="E28" s="530">
        <v>634906</v>
      </c>
      <c r="F28" s="530"/>
      <c r="G28" s="530"/>
      <c r="H28" s="520">
        <v>132000</v>
      </c>
      <c r="I28" s="520">
        <v>26400</v>
      </c>
      <c r="J28" s="530">
        <f>+E28*0.1</f>
        <v>63490.600000000006</v>
      </c>
      <c r="K28" s="530"/>
      <c r="L28" s="525">
        <f t="shared" si="0"/>
        <v>507924.80000000005</v>
      </c>
      <c r="M28" s="526">
        <f t="shared" si="1"/>
        <v>729815.4</v>
      </c>
      <c r="N28" s="527">
        <f t="shared" si="2"/>
        <v>1364721.4</v>
      </c>
    </row>
    <row r="29" spans="1:14">
      <c r="A29" s="521">
        <v>18</v>
      </c>
      <c r="B29" s="532" t="s">
        <v>777</v>
      </c>
      <c r="C29" s="529" t="s">
        <v>253</v>
      </c>
      <c r="D29" s="529" t="s">
        <v>264</v>
      </c>
      <c r="E29" s="530">
        <v>558559</v>
      </c>
      <c r="F29" s="530"/>
      <c r="G29" s="530"/>
      <c r="H29" s="520">
        <v>132000</v>
      </c>
      <c r="I29" s="520">
        <v>26400</v>
      </c>
      <c r="J29" s="530"/>
      <c r="K29" s="530"/>
      <c r="L29" s="525">
        <f t="shared" si="0"/>
        <v>446847.2</v>
      </c>
      <c r="M29" s="526">
        <f t="shared" si="1"/>
        <v>605247.19999999995</v>
      </c>
      <c r="N29" s="527">
        <f t="shared" si="2"/>
        <v>1163806.2</v>
      </c>
    </row>
    <row r="30" spans="1:14">
      <c r="A30" s="534">
        <v>19</v>
      </c>
      <c r="B30" s="531" t="s">
        <v>1012</v>
      </c>
      <c r="C30" s="529" t="s">
        <v>253</v>
      </c>
      <c r="D30" s="529" t="s">
        <v>264</v>
      </c>
      <c r="E30" s="530">
        <v>558559</v>
      </c>
      <c r="F30" s="526"/>
      <c r="G30" s="526"/>
      <c r="H30" s="520">
        <v>132000</v>
      </c>
      <c r="I30" s="520">
        <v>26400</v>
      </c>
      <c r="J30" s="526"/>
      <c r="K30" s="526"/>
      <c r="L30" s="525">
        <f t="shared" si="0"/>
        <v>446847.2</v>
      </c>
      <c r="M30" s="526">
        <f t="shared" si="1"/>
        <v>605247.19999999995</v>
      </c>
      <c r="N30" s="527">
        <f t="shared" si="2"/>
        <v>1163806.2</v>
      </c>
    </row>
    <row r="31" spans="1:14">
      <c r="A31" s="521">
        <v>20</v>
      </c>
      <c r="B31" s="528" t="s">
        <v>1013</v>
      </c>
      <c r="C31" s="529" t="s">
        <v>1014</v>
      </c>
      <c r="D31" s="529" t="s">
        <v>1015</v>
      </c>
      <c r="E31" s="530">
        <v>470840</v>
      </c>
      <c r="F31" s="530">
        <f>+E31*0.4</f>
        <v>188336</v>
      </c>
      <c r="G31" s="530"/>
      <c r="H31" s="520">
        <v>132000</v>
      </c>
      <c r="I31" s="520">
        <v>26400</v>
      </c>
      <c r="J31" s="530"/>
      <c r="K31" s="530"/>
      <c r="L31" s="525">
        <f t="shared" si="0"/>
        <v>376672</v>
      </c>
      <c r="M31" s="526">
        <f t="shared" si="1"/>
        <v>723408</v>
      </c>
      <c r="N31" s="527">
        <f t="shared" si="2"/>
        <v>1194248</v>
      </c>
    </row>
    <row r="32" spans="1:14" ht="28.5">
      <c r="A32" s="534">
        <v>21</v>
      </c>
      <c r="B32" s="528" t="s">
        <v>1016</v>
      </c>
      <c r="C32" s="529" t="s">
        <v>1005</v>
      </c>
      <c r="D32" s="529" t="s">
        <v>1006</v>
      </c>
      <c r="E32" s="530">
        <v>660752</v>
      </c>
      <c r="F32" s="530">
        <f>+E32*0.3</f>
        <v>198225.6</v>
      </c>
      <c r="G32" s="530"/>
      <c r="H32" s="520">
        <v>132000</v>
      </c>
      <c r="I32" s="520">
        <v>26400</v>
      </c>
      <c r="J32" s="530"/>
      <c r="K32" s="530"/>
      <c r="L32" s="525">
        <f t="shared" si="0"/>
        <v>528601.59999999998</v>
      </c>
      <c r="M32" s="526">
        <f t="shared" si="1"/>
        <v>885227.2</v>
      </c>
      <c r="N32" s="527">
        <f t="shared" si="2"/>
        <v>1545979.2</v>
      </c>
    </row>
    <row r="33" spans="1:14">
      <c r="A33" s="521">
        <v>22</v>
      </c>
      <c r="B33" s="528" t="s">
        <v>776</v>
      </c>
      <c r="C33" s="529" t="s">
        <v>253</v>
      </c>
      <c r="D33" s="529" t="s">
        <v>244</v>
      </c>
      <c r="E33" s="530">
        <v>634000</v>
      </c>
      <c r="F33" s="530"/>
      <c r="G33" s="530"/>
      <c r="H33" s="520">
        <v>132000</v>
      </c>
      <c r="I33" s="520">
        <v>26400</v>
      </c>
      <c r="J33" s="530"/>
      <c r="K33" s="530"/>
      <c r="L33" s="525">
        <f t="shared" si="0"/>
        <v>507200</v>
      </c>
      <c r="M33" s="526">
        <f t="shared" si="1"/>
        <v>665600</v>
      </c>
      <c r="N33" s="527">
        <f t="shared" si="2"/>
        <v>1299600</v>
      </c>
    </row>
    <row r="34" spans="1:14">
      <c r="A34" s="534">
        <v>23</v>
      </c>
      <c r="B34" s="528" t="s">
        <v>1017</v>
      </c>
      <c r="C34" s="529" t="s">
        <v>163</v>
      </c>
      <c r="D34" s="529" t="s">
        <v>244</v>
      </c>
      <c r="E34" s="530">
        <v>634000</v>
      </c>
      <c r="F34" s="530"/>
      <c r="G34" s="530"/>
      <c r="H34" s="520">
        <v>132000</v>
      </c>
      <c r="I34" s="520">
        <v>26400</v>
      </c>
      <c r="J34" s="530"/>
      <c r="K34" s="530"/>
      <c r="L34" s="525">
        <f t="shared" si="0"/>
        <v>507200</v>
      </c>
      <c r="M34" s="526">
        <f t="shared" si="1"/>
        <v>665600</v>
      </c>
      <c r="N34" s="527">
        <f t="shared" si="2"/>
        <v>1299600</v>
      </c>
    </row>
    <row r="35" spans="1:14">
      <c r="A35" s="521">
        <v>24</v>
      </c>
      <c r="B35" s="531" t="s">
        <v>1018</v>
      </c>
      <c r="C35" s="529" t="s">
        <v>253</v>
      </c>
      <c r="D35" s="529" t="s">
        <v>264</v>
      </c>
      <c r="E35" s="530">
        <v>558559</v>
      </c>
      <c r="F35" s="526"/>
      <c r="G35" s="526"/>
      <c r="H35" s="520">
        <v>132000</v>
      </c>
      <c r="I35" s="520">
        <v>26400</v>
      </c>
      <c r="J35" s="526"/>
      <c r="K35" s="526"/>
      <c r="L35" s="525">
        <f t="shared" si="0"/>
        <v>446847.2</v>
      </c>
      <c r="M35" s="526">
        <f t="shared" si="1"/>
        <v>605247.19999999995</v>
      </c>
      <c r="N35" s="527">
        <f t="shared" si="2"/>
        <v>1163806.2</v>
      </c>
    </row>
    <row r="36" spans="1:14">
      <c r="A36" s="1271" t="s">
        <v>1019</v>
      </c>
      <c r="B36" s="1272"/>
      <c r="C36" s="1272"/>
      <c r="D36" s="1273"/>
      <c r="E36" s="530">
        <v>0</v>
      </c>
      <c r="F36" s="530"/>
      <c r="G36" s="530"/>
      <c r="H36" s="520"/>
      <c r="I36" s="520"/>
      <c r="J36" s="530"/>
      <c r="K36" s="530"/>
      <c r="L36" s="525">
        <f t="shared" si="0"/>
        <v>0</v>
      </c>
      <c r="M36" s="526">
        <f t="shared" si="1"/>
        <v>0</v>
      </c>
      <c r="N36" s="527">
        <f t="shared" si="2"/>
        <v>0</v>
      </c>
    </row>
    <row r="37" spans="1:14">
      <c r="A37" s="521">
        <v>25</v>
      </c>
      <c r="B37" s="528" t="s">
        <v>269</v>
      </c>
      <c r="C37" s="529" t="s">
        <v>240</v>
      </c>
      <c r="D37" s="521" t="s">
        <v>241</v>
      </c>
      <c r="E37" s="530">
        <v>772530</v>
      </c>
      <c r="F37" s="530">
        <f>+E37*0.4</f>
        <v>309012</v>
      </c>
      <c r="G37" s="530"/>
      <c r="H37" s="520">
        <v>132000</v>
      </c>
      <c r="I37" s="520">
        <v>26400</v>
      </c>
      <c r="J37" s="530"/>
      <c r="K37" s="530">
        <f>+E37*0.15</f>
        <v>115879.5</v>
      </c>
      <c r="L37" s="525">
        <f t="shared" si="0"/>
        <v>618024</v>
      </c>
      <c r="M37" s="526">
        <f t="shared" si="1"/>
        <v>1201315.5</v>
      </c>
      <c r="N37" s="527">
        <f t="shared" si="2"/>
        <v>1973845.5</v>
      </c>
    </row>
    <row r="38" spans="1:14">
      <c r="A38" s="521">
        <v>26</v>
      </c>
      <c r="B38" s="528" t="s">
        <v>823</v>
      </c>
      <c r="C38" s="529" t="s">
        <v>163</v>
      </c>
      <c r="D38" s="529" t="s">
        <v>254</v>
      </c>
      <c r="E38" s="530">
        <v>634912</v>
      </c>
      <c r="F38" s="530"/>
      <c r="G38" s="530"/>
      <c r="H38" s="520">
        <v>132000</v>
      </c>
      <c r="I38" s="520">
        <v>26400</v>
      </c>
      <c r="J38" s="530">
        <f>+E38*0.1</f>
        <v>63491.200000000004</v>
      </c>
      <c r="K38" s="530"/>
      <c r="L38" s="525">
        <f t="shared" si="0"/>
        <v>507929.60000000003</v>
      </c>
      <c r="M38" s="526">
        <f t="shared" si="1"/>
        <v>729820.8</v>
      </c>
      <c r="N38" s="527">
        <f t="shared" si="2"/>
        <v>1364732.8</v>
      </c>
    </row>
    <row r="39" spans="1:14">
      <c r="A39" s="521">
        <v>27</v>
      </c>
      <c r="B39" s="528" t="s">
        <v>267</v>
      </c>
      <c r="C39" s="529" t="s">
        <v>163</v>
      </c>
      <c r="D39" s="529" t="s">
        <v>254</v>
      </c>
      <c r="E39" s="530">
        <v>634912</v>
      </c>
      <c r="F39" s="530">
        <f>+E39*0.2</f>
        <v>126982.40000000001</v>
      </c>
      <c r="G39" s="530"/>
      <c r="H39" s="520">
        <v>132000</v>
      </c>
      <c r="I39" s="520">
        <v>26400</v>
      </c>
      <c r="J39" s="530"/>
      <c r="K39" s="530"/>
      <c r="L39" s="525">
        <f t="shared" si="0"/>
        <v>507929.60000000003</v>
      </c>
      <c r="M39" s="526">
        <f t="shared" si="1"/>
        <v>793312</v>
      </c>
      <c r="N39" s="527">
        <f t="shared" si="2"/>
        <v>1428224</v>
      </c>
    </row>
    <row r="40" spans="1:14">
      <c r="A40" s="521">
        <v>28</v>
      </c>
      <c r="B40" s="532" t="s">
        <v>780</v>
      </c>
      <c r="C40" s="529" t="s">
        <v>163</v>
      </c>
      <c r="D40" s="529" t="s">
        <v>251</v>
      </c>
      <c r="E40" s="530">
        <v>558559</v>
      </c>
      <c r="F40" s="530"/>
      <c r="G40" s="530"/>
      <c r="H40" s="520">
        <v>132000</v>
      </c>
      <c r="I40" s="520">
        <v>26400</v>
      </c>
      <c r="J40" s="530"/>
      <c r="K40" s="530"/>
      <c r="L40" s="525">
        <f t="shared" si="0"/>
        <v>446847.2</v>
      </c>
      <c r="M40" s="526">
        <f t="shared" si="1"/>
        <v>605247.19999999995</v>
      </c>
      <c r="N40" s="527">
        <f t="shared" si="2"/>
        <v>1163806.2</v>
      </c>
    </row>
    <row r="41" spans="1:14">
      <c r="A41" s="521">
        <v>29</v>
      </c>
      <c r="B41" s="528" t="s">
        <v>432</v>
      </c>
      <c r="C41" s="529" t="s">
        <v>163</v>
      </c>
      <c r="D41" s="529" t="s">
        <v>268</v>
      </c>
      <c r="E41" s="530">
        <v>602948</v>
      </c>
      <c r="F41" s="530"/>
      <c r="G41" s="530"/>
      <c r="H41" s="520">
        <v>132000</v>
      </c>
      <c r="I41" s="520">
        <v>26400</v>
      </c>
      <c r="J41" s="530"/>
      <c r="K41" s="530"/>
      <c r="L41" s="525">
        <f t="shared" si="0"/>
        <v>482358.4</v>
      </c>
      <c r="M41" s="526">
        <f t="shared" si="1"/>
        <v>640758.4</v>
      </c>
      <c r="N41" s="527">
        <f t="shared" si="2"/>
        <v>1243706.3999999999</v>
      </c>
    </row>
    <row r="42" spans="1:14">
      <c r="A42" s="521">
        <v>30</v>
      </c>
      <c r="B42" s="528" t="s">
        <v>1020</v>
      </c>
      <c r="C42" s="529" t="s">
        <v>163</v>
      </c>
      <c r="D42" s="529" t="s">
        <v>251</v>
      </c>
      <c r="E42" s="530">
        <v>558559</v>
      </c>
      <c r="F42" s="530"/>
      <c r="G42" s="530"/>
      <c r="H42" s="520">
        <v>132000</v>
      </c>
      <c r="I42" s="520">
        <v>26400</v>
      </c>
      <c r="J42" s="530"/>
      <c r="K42" s="530"/>
      <c r="L42" s="525">
        <f t="shared" si="0"/>
        <v>446847.2</v>
      </c>
      <c r="M42" s="526">
        <f t="shared" si="1"/>
        <v>605247.19999999995</v>
      </c>
      <c r="N42" s="527">
        <f t="shared" si="2"/>
        <v>1163806.2</v>
      </c>
    </row>
    <row r="43" spans="1:14">
      <c r="A43" s="521">
        <v>31</v>
      </c>
      <c r="B43" s="532" t="s">
        <v>430</v>
      </c>
      <c r="C43" s="529" t="s">
        <v>163</v>
      </c>
      <c r="D43" s="529" t="s">
        <v>251</v>
      </c>
      <c r="E43" s="530">
        <v>558559</v>
      </c>
      <c r="F43" s="530"/>
      <c r="G43" s="530"/>
      <c r="H43" s="520">
        <v>132000</v>
      </c>
      <c r="I43" s="520">
        <v>26400</v>
      </c>
      <c r="J43" s="530"/>
      <c r="K43" s="530"/>
      <c r="L43" s="525">
        <f t="shared" si="0"/>
        <v>446847.2</v>
      </c>
      <c r="M43" s="526">
        <f t="shared" si="1"/>
        <v>605247.19999999995</v>
      </c>
      <c r="N43" s="527">
        <f t="shared" si="2"/>
        <v>1163806.2</v>
      </c>
    </row>
    <row r="44" spans="1:14">
      <c r="A44" s="521">
        <v>32</v>
      </c>
      <c r="B44" s="532" t="s">
        <v>270</v>
      </c>
      <c r="C44" s="529" t="s">
        <v>163</v>
      </c>
      <c r="D44" s="529" t="s">
        <v>254</v>
      </c>
      <c r="E44" s="530">
        <v>634912</v>
      </c>
      <c r="F44" s="530">
        <f>+E44*0.2</f>
        <v>126982.40000000001</v>
      </c>
      <c r="G44" s="530"/>
      <c r="H44" s="520">
        <v>132000</v>
      </c>
      <c r="I44" s="520">
        <v>26400</v>
      </c>
      <c r="J44" s="530">
        <f>+E44*0.1</f>
        <v>63491.200000000004</v>
      </c>
      <c r="K44" s="530"/>
      <c r="L44" s="525">
        <f t="shared" si="0"/>
        <v>507929.60000000003</v>
      </c>
      <c r="M44" s="526">
        <f t="shared" si="1"/>
        <v>856803.20000000007</v>
      </c>
      <c r="N44" s="527">
        <f t="shared" si="2"/>
        <v>1491715.2000000002</v>
      </c>
    </row>
    <row r="45" spans="1:14" ht="28.5">
      <c r="A45" s="521">
        <v>33</v>
      </c>
      <c r="B45" s="532" t="s">
        <v>824</v>
      </c>
      <c r="C45" s="529" t="s">
        <v>1021</v>
      </c>
      <c r="D45" s="529" t="s">
        <v>1006</v>
      </c>
      <c r="E45" s="530">
        <v>663752</v>
      </c>
      <c r="F45" s="530">
        <v>35511</v>
      </c>
      <c r="G45" s="530"/>
      <c r="H45" s="520">
        <v>132000</v>
      </c>
      <c r="I45" s="520">
        <v>26400</v>
      </c>
      <c r="J45" s="530">
        <f>+E45*0.15</f>
        <v>99562.8</v>
      </c>
      <c r="K45" s="530"/>
      <c r="L45" s="525">
        <f t="shared" si="0"/>
        <v>531001.59999999998</v>
      </c>
      <c r="M45" s="526">
        <f t="shared" si="1"/>
        <v>824475.39999999991</v>
      </c>
      <c r="N45" s="527">
        <f t="shared" si="2"/>
        <v>1488227.4</v>
      </c>
    </row>
    <row r="46" spans="1:14">
      <c r="A46" s="521">
        <v>34</v>
      </c>
      <c r="B46" s="532" t="s">
        <v>1022</v>
      </c>
      <c r="C46" s="529" t="s">
        <v>163</v>
      </c>
      <c r="D46" s="529" t="s">
        <v>251</v>
      </c>
      <c r="E46" s="530">
        <v>558559</v>
      </c>
      <c r="F46" s="530"/>
      <c r="G46" s="530"/>
      <c r="H46" s="520">
        <v>132000</v>
      </c>
      <c r="I46" s="520">
        <v>26400</v>
      </c>
      <c r="J46" s="530"/>
      <c r="K46" s="530"/>
      <c r="L46" s="525">
        <f t="shared" si="0"/>
        <v>446847.2</v>
      </c>
      <c r="M46" s="526">
        <f t="shared" si="1"/>
        <v>605247.19999999995</v>
      </c>
      <c r="N46" s="527">
        <f t="shared" si="2"/>
        <v>1163806.2</v>
      </c>
    </row>
    <row r="47" spans="1:14">
      <c r="A47" s="521">
        <v>35</v>
      </c>
      <c r="B47" s="528" t="s">
        <v>263</v>
      </c>
      <c r="C47" s="529" t="s">
        <v>245</v>
      </c>
      <c r="D47" s="529" t="s">
        <v>264</v>
      </c>
      <c r="E47" s="530">
        <v>558559</v>
      </c>
      <c r="F47" s="530"/>
      <c r="G47" s="530"/>
      <c r="H47" s="520">
        <v>132000</v>
      </c>
      <c r="I47" s="520">
        <v>26400</v>
      </c>
      <c r="J47" s="530"/>
      <c r="K47" s="530"/>
      <c r="L47" s="525">
        <f t="shared" si="0"/>
        <v>446847.2</v>
      </c>
      <c r="M47" s="526">
        <f t="shared" si="1"/>
        <v>605247.19999999995</v>
      </c>
      <c r="N47" s="527">
        <f t="shared" si="2"/>
        <v>1163806.2</v>
      </c>
    </row>
    <row r="48" spans="1:14">
      <c r="A48" s="521">
        <v>36</v>
      </c>
      <c r="B48" s="532" t="s">
        <v>825</v>
      </c>
      <c r="C48" s="529" t="s">
        <v>163</v>
      </c>
      <c r="D48" s="529" t="s">
        <v>264</v>
      </c>
      <c r="E48" s="530">
        <v>558559</v>
      </c>
      <c r="F48" s="530"/>
      <c r="G48" s="530"/>
      <c r="H48" s="520">
        <v>132000</v>
      </c>
      <c r="I48" s="520">
        <v>26400</v>
      </c>
      <c r="J48" s="530"/>
      <c r="K48" s="530"/>
      <c r="L48" s="525">
        <f t="shared" si="0"/>
        <v>446847.2</v>
      </c>
      <c r="M48" s="526">
        <f t="shared" si="1"/>
        <v>605247.19999999995</v>
      </c>
      <c r="N48" s="527">
        <f t="shared" si="2"/>
        <v>1163806.2</v>
      </c>
    </row>
    <row r="49" spans="1:14">
      <c r="A49" s="521">
        <v>37</v>
      </c>
      <c r="B49" s="528" t="s">
        <v>265</v>
      </c>
      <c r="C49" s="529" t="s">
        <v>245</v>
      </c>
      <c r="D49" s="529" t="s">
        <v>264</v>
      </c>
      <c r="E49" s="530">
        <v>558559</v>
      </c>
      <c r="F49" s="530"/>
      <c r="G49" s="530"/>
      <c r="H49" s="520">
        <v>132000</v>
      </c>
      <c r="I49" s="520">
        <v>26400</v>
      </c>
      <c r="J49" s="530"/>
      <c r="K49" s="530"/>
      <c r="L49" s="525">
        <f t="shared" si="0"/>
        <v>446847.2</v>
      </c>
      <c r="M49" s="526">
        <f t="shared" si="1"/>
        <v>605247.19999999995</v>
      </c>
      <c r="N49" s="527">
        <f t="shared" si="2"/>
        <v>1163806.2</v>
      </c>
    </row>
    <row r="50" spans="1:14">
      <c r="A50" s="521">
        <v>38</v>
      </c>
      <c r="B50" s="528" t="s">
        <v>266</v>
      </c>
      <c r="C50" s="529" t="s">
        <v>245</v>
      </c>
      <c r="D50" s="529" t="s">
        <v>1001</v>
      </c>
      <c r="E50" s="530">
        <v>574298</v>
      </c>
      <c r="F50" s="530">
        <f>+E50*0.2</f>
        <v>114859.6</v>
      </c>
      <c r="G50" s="530"/>
      <c r="H50" s="520">
        <v>132000</v>
      </c>
      <c r="I50" s="520">
        <v>26400</v>
      </c>
      <c r="J50" s="530"/>
      <c r="K50" s="530"/>
      <c r="L50" s="525">
        <f t="shared" si="0"/>
        <v>459438.4</v>
      </c>
      <c r="M50" s="526">
        <f t="shared" si="1"/>
        <v>732698</v>
      </c>
      <c r="N50" s="527">
        <f t="shared" si="2"/>
        <v>1306996</v>
      </c>
    </row>
    <row r="51" spans="1:14">
      <c r="A51" s="1264" t="s">
        <v>1023</v>
      </c>
      <c r="B51" s="1265"/>
      <c r="C51" s="1265"/>
      <c r="D51" s="1266"/>
      <c r="E51" s="530"/>
      <c r="F51" s="533"/>
      <c r="G51" s="533"/>
      <c r="H51" s="520"/>
      <c r="I51" s="520"/>
      <c r="J51" s="533"/>
      <c r="K51" s="533"/>
      <c r="L51" s="525">
        <f t="shared" si="0"/>
        <v>0</v>
      </c>
      <c r="M51" s="526">
        <f t="shared" si="1"/>
        <v>0</v>
      </c>
      <c r="N51" s="527">
        <f t="shared" si="2"/>
        <v>0</v>
      </c>
    </row>
    <row r="52" spans="1:14">
      <c r="A52" s="521">
        <v>39</v>
      </c>
      <c r="B52" s="532" t="s">
        <v>1024</v>
      </c>
      <c r="C52" s="529" t="s">
        <v>240</v>
      </c>
      <c r="D52" s="529" t="s">
        <v>241</v>
      </c>
      <c r="E52" s="530">
        <v>772530</v>
      </c>
      <c r="F52" s="530">
        <v>309012</v>
      </c>
      <c r="G52" s="530"/>
      <c r="H52" s="520">
        <v>132000</v>
      </c>
      <c r="I52" s="520">
        <v>26400</v>
      </c>
      <c r="J52" s="530"/>
      <c r="K52" s="530">
        <v>154506</v>
      </c>
      <c r="L52" s="525">
        <f t="shared" si="0"/>
        <v>618024</v>
      </c>
      <c r="M52" s="526">
        <f t="shared" si="1"/>
        <v>1239942</v>
      </c>
      <c r="N52" s="527">
        <f t="shared" si="2"/>
        <v>2012472</v>
      </c>
    </row>
    <row r="53" spans="1:14">
      <c r="A53" s="521">
        <v>40</v>
      </c>
      <c r="B53" s="528" t="s">
        <v>1025</v>
      </c>
      <c r="C53" s="529" t="s">
        <v>253</v>
      </c>
      <c r="D53" s="529" t="s">
        <v>244</v>
      </c>
      <c r="E53" s="530">
        <v>659000</v>
      </c>
      <c r="F53" s="530">
        <f>+E53*20/100</f>
        <v>131800</v>
      </c>
      <c r="G53" s="535"/>
      <c r="H53" s="520">
        <v>132000</v>
      </c>
      <c r="I53" s="520">
        <v>26400</v>
      </c>
      <c r="J53" s="535"/>
      <c r="K53" s="535"/>
      <c r="L53" s="525">
        <f t="shared" si="0"/>
        <v>527200</v>
      </c>
      <c r="M53" s="526">
        <f t="shared" si="1"/>
        <v>817400</v>
      </c>
      <c r="N53" s="527">
        <f t="shared" si="2"/>
        <v>1476400</v>
      </c>
    </row>
    <row r="54" spans="1:14">
      <c r="A54" s="521">
        <v>41</v>
      </c>
      <c r="B54" s="528" t="s">
        <v>1026</v>
      </c>
      <c r="C54" s="529" t="s">
        <v>245</v>
      </c>
      <c r="D54" s="529" t="s">
        <v>251</v>
      </c>
      <c r="E54" s="530">
        <v>558559</v>
      </c>
      <c r="F54" s="530"/>
      <c r="G54" s="530"/>
      <c r="H54" s="520">
        <v>132000</v>
      </c>
      <c r="I54" s="520">
        <v>26400</v>
      </c>
      <c r="J54" s="530"/>
      <c r="K54" s="530"/>
      <c r="L54" s="525">
        <f t="shared" si="0"/>
        <v>446847.2</v>
      </c>
      <c r="M54" s="526">
        <f t="shared" si="1"/>
        <v>605247.19999999995</v>
      </c>
      <c r="N54" s="527">
        <f t="shared" si="2"/>
        <v>1163806.2</v>
      </c>
    </row>
    <row r="55" spans="1:14">
      <c r="A55" s="521">
        <v>42</v>
      </c>
      <c r="B55" s="532" t="s">
        <v>261</v>
      </c>
      <c r="C55" s="529" t="s">
        <v>253</v>
      </c>
      <c r="D55" s="529" t="s">
        <v>244</v>
      </c>
      <c r="E55" s="530">
        <v>634912</v>
      </c>
      <c r="F55" s="530"/>
      <c r="G55" s="530"/>
      <c r="H55" s="520">
        <v>132000</v>
      </c>
      <c r="I55" s="520">
        <v>26400</v>
      </c>
      <c r="J55" s="530">
        <f>+E55*0.1</f>
        <v>63491.200000000004</v>
      </c>
      <c r="K55" s="530"/>
      <c r="L55" s="525">
        <f t="shared" si="0"/>
        <v>507929.60000000003</v>
      </c>
      <c r="M55" s="526">
        <f t="shared" si="1"/>
        <v>729820.8</v>
      </c>
      <c r="N55" s="527">
        <f t="shared" si="2"/>
        <v>1364732.8</v>
      </c>
    </row>
    <row r="56" spans="1:14">
      <c r="A56" s="521">
        <v>43</v>
      </c>
      <c r="B56" s="528" t="s">
        <v>819</v>
      </c>
      <c r="C56" s="529" t="s">
        <v>253</v>
      </c>
      <c r="D56" s="529" t="s">
        <v>264</v>
      </c>
      <c r="E56" s="530">
        <v>558559</v>
      </c>
      <c r="F56" s="535"/>
      <c r="G56" s="535"/>
      <c r="H56" s="520">
        <v>132000</v>
      </c>
      <c r="I56" s="520">
        <v>26400</v>
      </c>
      <c r="J56" s="535"/>
      <c r="K56" s="535"/>
      <c r="L56" s="525">
        <f t="shared" si="0"/>
        <v>446847.2</v>
      </c>
      <c r="M56" s="526">
        <f t="shared" si="1"/>
        <v>605247.19999999995</v>
      </c>
      <c r="N56" s="527">
        <f t="shared" si="2"/>
        <v>1163806.2</v>
      </c>
    </row>
    <row r="57" spans="1:14">
      <c r="A57" s="521">
        <v>44</v>
      </c>
      <c r="B57" s="528" t="s">
        <v>257</v>
      </c>
      <c r="C57" s="529" t="s">
        <v>253</v>
      </c>
      <c r="D57" s="529" t="s">
        <v>244</v>
      </c>
      <c r="E57" s="530">
        <v>634906</v>
      </c>
      <c r="F57" s="530">
        <f>+E57*0.2</f>
        <v>126981.20000000001</v>
      </c>
      <c r="G57" s="530"/>
      <c r="H57" s="520">
        <v>132000</v>
      </c>
      <c r="I57" s="520">
        <v>26400</v>
      </c>
      <c r="J57" s="530">
        <f>+E57*0.1</f>
        <v>63490.600000000006</v>
      </c>
      <c r="K57" s="530"/>
      <c r="L57" s="525">
        <f t="shared" si="0"/>
        <v>507924.80000000005</v>
      </c>
      <c r="M57" s="526">
        <f t="shared" si="1"/>
        <v>856796.60000000009</v>
      </c>
      <c r="N57" s="527">
        <f t="shared" si="2"/>
        <v>1491702.6</v>
      </c>
    </row>
    <row r="58" spans="1:14">
      <c r="A58" s="521">
        <v>45</v>
      </c>
      <c r="B58" s="531" t="s">
        <v>1027</v>
      </c>
      <c r="C58" s="529" t="s">
        <v>253</v>
      </c>
      <c r="D58" s="529" t="s">
        <v>1001</v>
      </c>
      <c r="E58" s="530">
        <v>576298</v>
      </c>
      <c r="F58" s="536">
        <v>115260</v>
      </c>
      <c r="G58" s="535"/>
      <c r="H58" s="520">
        <v>132000</v>
      </c>
      <c r="I58" s="520">
        <v>26400</v>
      </c>
      <c r="J58" s="535"/>
      <c r="K58" s="535"/>
      <c r="L58" s="525">
        <f t="shared" si="0"/>
        <v>461038.4</v>
      </c>
      <c r="M58" s="526">
        <f t="shared" si="1"/>
        <v>734698.4</v>
      </c>
      <c r="N58" s="527">
        <f t="shared" si="2"/>
        <v>1310996.3999999999</v>
      </c>
    </row>
    <row r="59" spans="1:14">
      <c r="A59" s="521">
        <v>46</v>
      </c>
      <c r="B59" s="531" t="s">
        <v>1028</v>
      </c>
      <c r="C59" s="529" t="s">
        <v>253</v>
      </c>
      <c r="D59" s="529" t="s">
        <v>1001</v>
      </c>
      <c r="E59" s="530">
        <v>574298</v>
      </c>
      <c r="F59" s="536">
        <v>114860</v>
      </c>
      <c r="G59" s="535"/>
      <c r="H59" s="520">
        <v>132000</v>
      </c>
      <c r="I59" s="520">
        <v>26400</v>
      </c>
      <c r="J59" s="526"/>
      <c r="K59" s="526"/>
      <c r="L59" s="525">
        <f t="shared" si="0"/>
        <v>459438.4</v>
      </c>
      <c r="M59" s="526">
        <f t="shared" si="1"/>
        <v>732698.4</v>
      </c>
      <c r="N59" s="527">
        <f t="shared" si="2"/>
        <v>1306996.3999999999</v>
      </c>
    </row>
    <row r="60" spans="1:14">
      <c r="A60" s="521">
        <v>47</v>
      </c>
      <c r="B60" s="531" t="s">
        <v>1029</v>
      </c>
      <c r="C60" s="529" t="s">
        <v>253</v>
      </c>
      <c r="D60" s="529" t="s">
        <v>264</v>
      </c>
      <c r="E60" s="530">
        <v>558559</v>
      </c>
      <c r="F60" s="535"/>
      <c r="G60" s="535"/>
      <c r="H60" s="520">
        <v>132000</v>
      </c>
      <c r="I60" s="520">
        <v>26400</v>
      </c>
      <c r="J60" s="526"/>
      <c r="K60" s="526"/>
      <c r="L60" s="525">
        <f t="shared" si="0"/>
        <v>446847.2</v>
      </c>
      <c r="M60" s="526">
        <f t="shared" si="1"/>
        <v>605247.19999999995</v>
      </c>
      <c r="N60" s="527">
        <f t="shared" si="2"/>
        <v>1163806.2</v>
      </c>
    </row>
    <row r="61" spans="1:14">
      <c r="A61" s="521">
        <v>48</v>
      </c>
      <c r="B61" s="528" t="s">
        <v>820</v>
      </c>
      <c r="C61" s="529" t="s">
        <v>253</v>
      </c>
      <c r="D61" s="529" t="s">
        <v>244</v>
      </c>
      <c r="E61" s="530">
        <v>634912</v>
      </c>
      <c r="F61" s="530">
        <f>+E61*0.2</f>
        <v>126982.40000000001</v>
      </c>
      <c r="G61" s="535"/>
      <c r="H61" s="520">
        <v>132000</v>
      </c>
      <c r="I61" s="520">
        <v>26400</v>
      </c>
      <c r="J61" s="535"/>
      <c r="K61" s="535"/>
      <c r="L61" s="525">
        <f t="shared" si="0"/>
        <v>507929.60000000003</v>
      </c>
      <c r="M61" s="526">
        <f t="shared" si="1"/>
        <v>793312</v>
      </c>
      <c r="N61" s="527">
        <f t="shared" si="2"/>
        <v>1428224</v>
      </c>
    </row>
    <row r="62" spans="1:14">
      <c r="A62" s="521">
        <v>49</v>
      </c>
      <c r="B62" s="528" t="s">
        <v>1030</v>
      </c>
      <c r="C62" s="529" t="s">
        <v>253</v>
      </c>
      <c r="D62" s="529" t="s">
        <v>264</v>
      </c>
      <c r="E62" s="530">
        <v>558559</v>
      </c>
      <c r="F62" s="530"/>
      <c r="G62" s="535"/>
      <c r="H62" s="520">
        <v>132000</v>
      </c>
      <c r="I62" s="520">
        <v>26400</v>
      </c>
      <c r="J62" s="535"/>
      <c r="K62" s="535"/>
      <c r="L62" s="525">
        <f t="shared" si="0"/>
        <v>446847.2</v>
      </c>
      <c r="M62" s="526">
        <f t="shared" si="1"/>
        <v>605247.19999999995</v>
      </c>
      <c r="N62" s="527">
        <f t="shared" si="2"/>
        <v>1163806.2</v>
      </c>
    </row>
    <row r="63" spans="1:14">
      <c r="A63" s="521">
        <v>50</v>
      </c>
      <c r="B63" s="528" t="s">
        <v>821</v>
      </c>
      <c r="C63" s="529" t="s">
        <v>163</v>
      </c>
      <c r="D63" s="529" t="s">
        <v>244</v>
      </c>
      <c r="E63" s="530">
        <v>634912</v>
      </c>
      <c r="F63" s="530"/>
      <c r="G63" s="535"/>
      <c r="H63" s="520">
        <v>132000</v>
      </c>
      <c r="I63" s="520">
        <v>26400</v>
      </c>
      <c r="J63" s="535"/>
      <c r="K63" s="535"/>
      <c r="L63" s="525">
        <f t="shared" si="0"/>
        <v>507929.60000000003</v>
      </c>
      <c r="M63" s="526">
        <f t="shared" si="1"/>
        <v>666329.60000000009</v>
      </c>
      <c r="N63" s="527">
        <f t="shared" si="2"/>
        <v>1301241.6000000001</v>
      </c>
    </row>
    <row r="64" spans="1:14">
      <c r="A64" s="521">
        <v>51</v>
      </c>
      <c r="B64" s="528" t="s">
        <v>1031</v>
      </c>
      <c r="C64" s="529" t="s">
        <v>253</v>
      </c>
      <c r="D64" s="529" t="s">
        <v>264</v>
      </c>
      <c r="E64" s="530">
        <v>558559</v>
      </c>
      <c r="F64" s="536"/>
      <c r="G64" s="535"/>
      <c r="H64" s="520">
        <v>132000</v>
      </c>
      <c r="I64" s="520">
        <v>26400</v>
      </c>
      <c r="J64" s="535"/>
      <c r="K64" s="535"/>
      <c r="L64" s="525">
        <f t="shared" si="0"/>
        <v>446847.2</v>
      </c>
      <c r="M64" s="526">
        <f t="shared" si="1"/>
        <v>605247.19999999995</v>
      </c>
      <c r="N64" s="527">
        <f t="shared" si="2"/>
        <v>1163806.2</v>
      </c>
    </row>
    <row r="65" spans="1:14">
      <c r="A65" s="1264" t="s">
        <v>1032</v>
      </c>
      <c r="B65" s="1265"/>
      <c r="C65" s="1265"/>
      <c r="D65" s="1266"/>
      <c r="E65" s="530">
        <v>0</v>
      </c>
      <c r="F65" s="530"/>
      <c r="G65" s="530"/>
      <c r="H65" s="520"/>
      <c r="I65" s="520"/>
      <c r="J65" s="530"/>
      <c r="K65" s="530"/>
      <c r="L65" s="525">
        <f t="shared" si="0"/>
        <v>0</v>
      </c>
      <c r="M65" s="526">
        <f t="shared" si="1"/>
        <v>0</v>
      </c>
      <c r="N65" s="527">
        <f t="shared" si="2"/>
        <v>0</v>
      </c>
    </row>
    <row r="66" spans="1:14">
      <c r="A66" s="521">
        <v>52</v>
      </c>
      <c r="B66" s="532" t="s">
        <v>809</v>
      </c>
      <c r="C66" s="529" t="s">
        <v>240</v>
      </c>
      <c r="D66" s="529" t="s">
        <v>241</v>
      </c>
      <c r="E66" s="530">
        <v>772530</v>
      </c>
      <c r="F66" s="530">
        <f>+E66*0.2</f>
        <v>154506</v>
      </c>
      <c r="G66" s="530"/>
      <c r="H66" s="520">
        <v>132000</v>
      </c>
      <c r="I66" s="520">
        <v>26400</v>
      </c>
      <c r="J66" s="530"/>
      <c r="K66" s="530"/>
      <c r="L66" s="525">
        <f t="shared" si="0"/>
        <v>618024</v>
      </c>
      <c r="M66" s="526">
        <f t="shared" si="1"/>
        <v>930930</v>
      </c>
      <c r="N66" s="527">
        <f t="shared" si="2"/>
        <v>1703460</v>
      </c>
    </row>
    <row r="67" spans="1:14">
      <c r="A67" s="521">
        <v>53</v>
      </c>
      <c r="B67" s="532" t="s">
        <v>827</v>
      </c>
      <c r="C67" s="529" t="s">
        <v>163</v>
      </c>
      <c r="D67" s="529" t="s">
        <v>244</v>
      </c>
      <c r="E67" s="530">
        <v>634912</v>
      </c>
      <c r="F67" s="530">
        <f>+E67*0.1</f>
        <v>63491.200000000004</v>
      </c>
      <c r="G67" s="530"/>
      <c r="H67" s="520">
        <v>132000</v>
      </c>
      <c r="I67" s="520">
        <v>26400</v>
      </c>
      <c r="J67" s="530"/>
      <c r="K67" s="530"/>
      <c r="L67" s="525">
        <f t="shared" si="0"/>
        <v>507929.60000000003</v>
      </c>
      <c r="M67" s="526">
        <f t="shared" si="1"/>
        <v>729820.8</v>
      </c>
      <c r="N67" s="527">
        <f t="shared" si="2"/>
        <v>1364732.8</v>
      </c>
    </row>
    <row r="68" spans="1:14">
      <c r="A68" s="521">
        <v>54</v>
      </c>
      <c r="B68" s="531" t="s">
        <v>829</v>
      </c>
      <c r="C68" s="529" t="s">
        <v>253</v>
      </c>
      <c r="D68" s="529" t="s">
        <v>264</v>
      </c>
      <c r="E68" s="530">
        <v>558559</v>
      </c>
      <c r="F68" s="526"/>
      <c r="G68" s="526"/>
      <c r="H68" s="520">
        <v>132000</v>
      </c>
      <c r="I68" s="520">
        <v>26400</v>
      </c>
      <c r="J68" s="526"/>
      <c r="K68" s="526"/>
      <c r="L68" s="525">
        <f t="shared" si="0"/>
        <v>446847.2</v>
      </c>
      <c r="M68" s="526">
        <f t="shared" si="1"/>
        <v>605247.19999999995</v>
      </c>
      <c r="N68" s="527">
        <f t="shared" si="2"/>
        <v>1163806.2</v>
      </c>
    </row>
    <row r="69" spans="1:14">
      <c r="A69" s="521">
        <v>55</v>
      </c>
      <c r="B69" s="532" t="s">
        <v>1033</v>
      </c>
      <c r="C69" s="529" t="s">
        <v>253</v>
      </c>
      <c r="D69" s="529" t="s">
        <v>264</v>
      </c>
      <c r="E69" s="530">
        <v>558559</v>
      </c>
      <c r="F69" s="530"/>
      <c r="G69" s="530"/>
      <c r="H69" s="520">
        <v>132000</v>
      </c>
      <c r="I69" s="520">
        <v>26400</v>
      </c>
      <c r="J69" s="530"/>
      <c r="K69" s="530"/>
      <c r="L69" s="525">
        <f t="shared" si="0"/>
        <v>446847.2</v>
      </c>
      <c r="M69" s="526">
        <f t="shared" si="1"/>
        <v>605247.19999999995</v>
      </c>
      <c r="N69" s="527">
        <f t="shared" si="2"/>
        <v>1163806.2</v>
      </c>
    </row>
    <row r="70" spans="1:14">
      <c r="A70" s="521">
        <v>56</v>
      </c>
      <c r="B70" s="528" t="s">
        <v>1034</v>
      </c>
      <c r="C70" s="529" t="s">
        <v>163</v>
      </c>
      <c r="D70" s="521" t="s">
        <v>1006</v>
      </c>
      <c r="E70" s="530">
        <v>660752</v>
      </c>
      <c r="F70" s="530">
        <v>264300</v>
      </c>
      <c r="G70" s="530"/>
      <c r="H70" s="520">
        <v>132000</v>
      </c>
      <c r="I70" s="520">
        <v>26400</v>
      </c>
      <c r="J70" s="530"/>
      <c r="K70" s="530"/>
      <c r="L70" s="525">
        <f t="shared" si="0"/>
        <v>528601.59999999998</v>
      </c>
      <c r="M70" s="526">
        <f t="shared" si="1"/>
        <v>951301.6</v>
      </c>
      <c r="N70" s="527">
        <f t="shared" si="2"/>
        <v>1612053.6</v>
      </c>
    </row>
    <row r="71" spans="1:14">
      <c r="A71" s="521">
        <v>57</v>
      </c>
      <c r="B71" s="528" t="s">
        <v>246</v>
      </c>
      <c r="C71" s="529" t="s">
        <v>163</v>
      </c>
      <c r="D71" s="521" t="s">
        <v>1006</v>
      </c>
      <c r="E71" s="530">
        <v>742000</v>
      </c>
      <c r="F71" s="537">
        <v>148400</v>
      </c>
      <c r="G71" s="535"/>
      <c r="H71" s="520">
        <v>132000</v>
      </c>
      <c r="I71" s="520">
        <v>26400</v>
      </c>
      <c r="J71" s="537">
        <v>111300</v>
      </c>
      <c r="K71" s="535"/>
      <c r="L71" s="525">
        <f t="shared" si="0"/>
        <v>593600</v>
      </c>
      <c r="M71" s="526">
        <f t="shared" si="1"/>
        <v>1011700</v>
      </c>
      <c r="N71" s="527">
        <f t="shared" si="2"/>
        <v>1753700</v>
      </c>
    </row>
    <row r="72" spans="1:14">
      <c r="A72" s="521">
        <v>58</v>
      </c>
      <c r="B72" s="290" t="s">
        <v>1035</v>
      </c>
      <c r="C72" s="529" t="s">
        <v>163</v>
      </c>
      <c r="D72" s="288" t="s">
        <v>244</v>
      </c>
      <c r="E72" s="291">
        <v>634912</v>
      </c>
      <c r="F72" s="291">
        <f>+E72*0.2</f>
        <v>126982.40000000001</v>
      </c>
      <c r="G72" s="291"/>
      <c r="H72" s="520">
        <v>132000</v>
      </c>
      <c r="I72" s="520">
        <v>26400</v>
      </c>
      <c r="J72" s="291"/>
      <c r="K72" s="291"/>
      <c r="L72" s="525">
        <f t="shared" si="0"/>
        <v>507929.60000000003</v>
      </c>
      <c r="M72" s="526">
        <f t="shared" si="1"/>
        <v>793312</v>
      </c>
      <c r="N72" s="527">
        <f t="shared" si="2"/>
        <v>1428224</v>
      </c>
    </row>
    <row r="73" spans="1:14">
      <c r="A73" s="521">
        <v>59</v>
      </c>
      <c r="B73" s="538" t="s">
        <v>1036</v>
      </c>
      <c r="C73" s="529" t="s">
        <v>163</v>
      </c>
      <c r="D73" s="288" t="s">
        <v>264</v>
      </c>
      <c r="E73" s="291">
        <v>558559</v>
      </c>
      <c r="F73" s="291"/>
      <c r="G73" s="291"/>
      <c r="H73" s="520">
        <v>132000</v>
      </c>
      <c r="I73" s="520">
        <v>26400</v>
      </c>
      <c r="J73" s="291"/>
      <c r="K73" s="291"/>
      <c r="L73" s="525">
        <f t="shared" si="0"/>
        <v>446847.2</v>
      </c>
      <c r="M73" s="526">
        <f t="shared" si="1"/>
        <v>605247.19999999995</v>
      </c>
      <c r="N73" s="527">
        <f t="shared" si="2"/>
        <v>1163806.2</v>
      </c>
    </row>
    <row r="74" spans="1:14" ht="26.25" customHeight="1">
      <c r="A74" s="1264" t="s">
        <v>1037</v>
      </c>
      <c r="B74" s="1265"/>
      <c r="C74" s="1265"/>
      <c r="D74" s="1266"/>
      <c r="E74" s="530">
        <v>0</v>
      </c>
      <c r="F74" s="530"/>
      <c r="G74" s="530"/>
      <c r="H74" s="520"/>
      <c r="I74" s="520"/>
      <c r="J74" s="530"/>
      <c r="K74" s="530"/>
      <c r="L74" s="525">
        <f t="shared" si="0"/>
        <v>0</v>
      </c>
      <c r="M74" s="526">
        <f t="shared" si="1"/>
        <v>0</v>
      </c>
      <c r="N74" s="527">
        <f t="shared" si="2"/>
        <v>0</v>
      </c>
    </row>
    <row r="75" spans="1:14">
      <c r="A75" s="521">
        <v>60</v>
      </c>
      <c r="B75" s="532" t="s">
        <v>1038</v>
      </c>
      <c r="C75" s="529" t="s">
        <v>240</v>
      </c>
      <c r="D75" s="529" t="s">
        <v>241</v>
      </c>
      <c r="E75" s="530">
        <v>772530</v>
      </c>
      <c r="F75" s="530">
        <v>231759</v>
      </c>
      <c r="G75" s="530"/>
      <c r="H75" s="520">
        <v>132000</v>
      </c>
      <c r="I75" s="520">
        <v>26400</v>
      </c>
      <c r="J75" s="530">
        <v>77253</v>
      </c>
      <c r="K75" s="530">
        <v>115880</v>
      </c>
      <c r="L75" s="525">
        <f t="shared" ref="L75:L92" si="3">+E75*0.8</f>
        <v>618024</v>
      </c>
      <c r="M75" s="526">
        <f t="shared" ref="M75:M92" si="4">F75+G75+H75+I75+J75+K75+L75</f>
        <v>1201316</v>
      </c>
      <c r="N75" s="527">
        <f t="shared" ref="N75:N92" si="5">+E75+M75</f>
        <v>1973846</v>
      </c>
    </row>
    <row r="76" spans="1:14">
      <c r="A76" s="521">
        <v>61</v>
      </c>
      <c r="B76" s="528" t="s">
        <v>258</v>
      </c>
      <c r="C76" s="529" t="s">
        <v>253</v>
      </c>
      <c r="D76" s="529" t="s">
        <v>254</v>
      </c>
      <c r="E76" s="530">
        <v>634906</v>
      </c>
      <c r="F76" s="530">
        <f>+E76*0.4</f>
        <v>253962.40000000002</v>
      </c>
      <c r="G76" s="530"/>
      <c r="H76" s="520">
        <v>132000</v>
      </c>
      <c r="I76" s="520">
        <v>26400</v>
      </c>
      <c r="J76" s="530">
        <f>+E76*0.1</f>
        <v>63490.600000000006</v>
      </c>
      <c r="K76" s="530"/>
      <c r="L76" s="525">
        <f t="shared" si="3"/>
        <v>507924.80000000005</v>
      </c>
      <c r="M76" s="526">
        <f t="shared" si="4"/>
        <v>983777.8</v>
      </c>
      <c r="N76" s="527">
        <f t="shared" si="5"/>
        <v>1618683.8</v>
      </c>
    </row>
    <row r="77" spans="1:14">
      <c r="A77" s="521">
        <v>62</v>
      </c>
      <c r="B77" s="528" t="s">
        <v>428</v>
      </c>
      <c r="C77" s="529" t="s">
        <v>1039</v>
      </c>
      <c r="D77" s="529" t="s">
        <v>262</v>
      </c>
      <c r="E77" s="530">
        <v>574298</v>
      </c>
      <c r="F77" s="530"/>
      <c r="G77" s="530"/>
      <c r="H77" s="520">
        <v>132000</v>
      </c>
      <c r="I77" s="520">
        <v>26400</v>
      </c>
      <c r="J77" s="530"/>
      <c r="K77" s="530"/>
      <c r="L77" s="525">
        <f t="shared" si="3"/>
        <v>459438.4</v>
      </c>
      <c r="M77" s="526">
        <f t="shared" si="4"/>
        <v>617838.4</v>
      </c>
      <c r="N77" s="527">
        <f t="shared" si="5"/>
        <v>1192136.3999999999</v>
      </c>
    </row>
    <row r="78" spans="1:14">
      <c r="A78" s="521">
        <v>63</v>
      </c>
      <c r="B78" s="531" t="s">
        <v>1040</v>
      </c>
      <c r="C78" s="529" t="s">
        <v>1039</v>
      </c>
      <c r="D78" s="521" t="s">
        <v>264</v>
      </c>
      <c r="E78" s="530">
        <v>558559</v>
      </c>
      <c r="F78" s="530">
        <f>+E78*0.2</f>
        <v>111711.8</v>
      </c>
      <c r="G78" s="526"/>
      <c r="H78" s="520">
        <v>132000</v>
      </c>
      <c r="I78" s="520">
        <v>26400</v>
      </c>
      <c r="J78" s="526"/>
      <c r="K78" s="526"/>
      <c r="L78" s="525">
        <f t="shared" si="3"/>
        <v>446847.2</v>
      </c>
      <c r="M78" s="526">
        <f t="shared" si="4"/>
        <v>716959</v>
      </c>
      <c r="N78" s="527">
        <f t="shared" si="5"/>
        <v>1275518</v>
      </c>
    </row>
    <row r="79" spans="1:14">
      <c r="A79" s="521">
        <v>64</v>
      </c>
      <c r="B79" s="528" t="s">
        <v>818</v>
      </c>
      <c r="C79" s="529" t="s">
        <v>245</v>
      </c>
      <c r="D79" s="529" t="s">
        <v>244</v>
      </c>
      <c r="E79" s="530">
        <v>628038</v>
      </c>
      <c r="F79" s="530"/>
      <c r="G79" s="530"/>
      <c r="H79" s="520">
        <v>132000</v>
      </c>
      <c r="I79" s="520">
        <v>26400</v>
      </c>
      <c r="J79" s="530"/>
      <c r="K79" s="530"/>
      <c r="L79" s="525">
        <f t="shared" si="3"/>
        <v>502430.4</v>
      </c>
      <c r="M79" s="526">
        <f t="shared" si="4"/>
        <v>660830.4</v>
      </c>
      <c r="N79" s="527">
        <f t="shared" si="5"/>
        <v>1288868.3999999999</v>
      </c>
    </row>
    <row r="80" spans="1:14">
      <c r="A80" s="1264" t="s">
        <v>1041</v>
      </c>
      <c r="B80" s="1265"/>
      <c r="C80" s="1265"/>
      <c r="D80" s="1266"/>
      <c r="E80" s="530"/>
      <c r="F80" s="533"/>
      <c r="G80" s="533"/>
      <c r="H80" s="520"/>
      <c r="I80" s="520"/>
      <c r="J80" s="533"/>
      <c r="K80" s="533"/>
      <c r="L80" s="525">
        <f t="shared" si="3"/>
        <v>0</v>
      </c>
      <c r="M80" s="526">
        <f t="shared" si="4"/>
        <v>0</v>
      </c>
      <c r="N80" s="527">
        <f t="shared" si="5"/>
        <v>0</v>
      </c>
    </row>
    <row r="81" spans="1:14">
      <c r="A81" s="534">
        <v>65</v>
      </c>
      <c r="B81" s="532" t="s">
        <v>1042</v>
      </c>
      <c r="C81" s="529" t="s">
        <v>240</v>
      </c>
      <c r="D81" s="529" t="s">
        <v>241</v>
      </c>
      <c r="E81" s="530">
        <v>772530</v>
      </c>
      <c r="F81" s="530">
        <v>309012</v>
      </c>
      <c r="G81" s="530"/>
      <c r="H81" s="520">
        <v>132000</v>
      </c>
      <c r="I81" s="520">
        <v>26400</v>
      </c>
      <c r="J81" s="530"/>
      <c r="K81" s="530"/>
      <c r="L81" s="525">
        <f t="shared" si="3"/>
        <v>618024</v>
      </c>
      <c r="M81" s="526">
        <f t="shared" si="4"/>
        <v>1085436</v>
      </c>
      <c r="N81" s="527">
        <f t="shared" si="5"/>
        <v>1857966</v>
      </c>
    </row>
    <row r="82" spans="1:14" ht="28.5">
      <c r="A82" s="521">
        <v>66</v>
      </c>
      <c r="B82" s="531" t="s">
        <v>239</v>
      </c>
      <c r="C82" s="529" t="s">
        <v>1021</v>
      </c>
      <c r="D82" s="521" t="s">
        <v>1006</v>
      </c>
      <c r="E82" s="530">
        <v>742000</v>
      </c>
      <c r="F82" s="530">
        <f>+E82*0.4</f>
        <v>296800</v>
      </c>
      <c r="G82" s="530"/>
      <c r="H82" s="520">
        <v>132000</v>
      </c>
      <c r="I82" s="520">
        <v>26400</v>
      </c>
      <c r="J82" s="530">
        <f>+E82*0.1</f>
        <v>74200</v>
      </c>
      <c r="K82" s="530"/>
      <c r="L82" s="525">
        <f t="shared" si="3"/>
        <v>593600</v>
      </c>
      <c r="M82" s="526">
        <f t="shared" si="4"/>
        <v>1123000</v>
      </c>
      <c r="N82" s="527">
        <f t="shared" si="5"/>
        <v>1865000</v>
      </c>
    </row>
    <row r="83" spans="1:14" ht="28.5">
      <c r="A83" s="534">
        <v>67</v>
      </c>
      <c r="B83" s="531" t="s">
        <v>828</v>
      </c>
      <c r="C83" s="529" t="s">
        <v>1021</v>
      </c>
      <c r="D83" s="529" t="s">
        <v>1006</v>
      </c>
      <c r="E83" s="530">
        <v>742000</v>
      </c>
      <c r="F83" s="530">
        <f>+E83*0.3</f>
        <v>222600</v>
      </c>
      <c r="G83" s="530">
        <v>148400</v>
      </c>
      <c r="H83" s="520">
        <v>132000</v>
      </c>
      <c r="I83" s="520">
        <v>26400</v>
      </c>
      <c r="J83" s="530">
        <f>+E83*0.1</f>
        <v>74200</v>
      </c>
      <c r="K83" s="530"/>
      <c r="L83" s="525">
        <f t="shared" si="3"/>
        <v>593600</v>
      </c>
      <c r="M83" s="526">
        <f t="shared" si="4"/>
        <v>1197200</v>
      </c>
      <c r="N83" s="527">
        <f t="shared" si="5"/>
        <v>1939200</v>
      </c>
    </row>
    <row r="84" spans="1:14" ht="28.5">
      <c r="A84" s="521">
        <v>68</v>
      </c>
      <c r="B84" s="531" t="s">
        <v>1043</v>
      </c>
      <c r="C84" s="529" t="s">
        <v>1044</v>
      </c>
      <c r="D84" s="529" t="s">
        <v>1006</v>
      </c>
      <c r="E84" s="530">
        <v>740946</v>
      </c>
      <c r="F84" s="530">
        <v>296378</v>
      </c>
      <c r="G84" s="530"/>
      <c r="H84" s="520">
        <v>132000</v>
      </c>
      <c r="I84" s="520">
        <v>26400</v>
      </c>
      <c r="J84" s="530"/>
      <c r="K84" s="530"/>
      <c r="L84" s="525">
        <f t="shared" si="3"/>
        <v>592756.80000000005</v>
      </c>
      <c r="M84" s="526">
        <f t="shared" si="4"/>
        <v>1047534.8</v>
      </c>
      <c r="N84" s="527">
        <f t="shared" si="5"/>
        <v>1788480.8</v>
      </c>
    </row>
    <row r="85" spans="1:14">
      <c r="A85" s="534">
        <v>69</v>
      </c>
      <c r="B85" s="531" t="s">
        <v>1045</v>
      </c>
      <c r="C85" s="529" t="s">
        <v>253</v>
      </c>
      <c r="D85" s="529" t="s">
        <v>264</v>
      </c>
      <c r="E85" s="530">
        <v>558559</v>
      </c>
      <c r="F85" s="526"/>
      <c r="G85" s="526"/>
      <c r="H85" s="520">
        <v>132000</v>
      </c>
      <c r="I85" s="520">
        <v>26400</v>
      </c>
      <c r="J85" s="526"/>
      <c r="K85" s="526"/>
      <c r="L85" s="525">
        <f t="shared" si="3"/>
        <v>446847.2</v>
      </c>
      <c r="M85" s="526">
        <f t="shared" si="4"/>
        <v>605247.19999999995</v>
      </c>
      <c r="N85" s="527">
        <f t="shared" si="5"/>
        <v>1163806.2</v>
      </c>
    </row>
    <row r="86" spans="1:14">
      <c r="A86" s="521">
        <v>70</v>
      </c>
      <c r="B86" s="528" t="s">
        <v>271</v>
      </c>
      <c r="C86" s="529" t="s">
        <v>253</v>
      </c>
      <c r="D86" s="529" t="s">
        <v>254</v>
      </c>
      <c r="E86" s="530">
        <v>634905.98179999995</v>
      </c>
      <c r="F86" s="530">
        <f>+E86*20%</f>
        <v>126981.19636</v>
      </c>
      <c r="G86" s="539"/>
      <c r="H86" s="520">
        <v>132000</v>
      </c>
      <c r="I86" s="520">
        <v>26400</v>
      </c>
      <c r="J86" s="539"/>
      <c r="K86" s="539"/>
      <c r="L86" s="525">
        <f t="shared" si="3"/>
        <v>507924.78544000001</v>
      </c>
      <c r="M86" s="526">
        <f t="shared" si="4"/>
        <v>793305.98179999995</v>
      </c>
      <c r="N86" s="527">
        <f t="shared" si="5"/>
        <v>1428211.9635999999</v>
      </c>
    </row>
    <row r="87" spans="1:14">
      <c r="A87" s="534">
        <v>71</v>
      </c>
      <c r="B87" s="528" t="s">
        <v>1046</v>
      </c>
      <c r="C87" s="529" t="s">
        <v>253</v>
      </c>
      <c r="D87" s="529" t="s">
        <v>1001</v>
      </c>
      <c r="E87" s="530">
        <v>576298</v>
      </c>
      <c r="F87" s="530"/>
      <c r="G87" s="539"/>
      <c r="H87" s="520">
        <v>132000</v>
      </c>
      <c r="I87" s="520">
        <v>26400</v>
      </c>
      <c r="J87" s="539"/>
      <c r="K87" s="539"/>
      <c r="L87" s="525">
        <f t="shared" si="3"/>
        <v>461038.4</v>
      </c>
      <c r="M87" s="526">
        <f t="shared" si="4"/>
        <v>619438.4</v>
      </c>
      <c r="N87" s="527">
        <f t="shared" si="5"/>
        <v>1195736.3999999999</v>
      </c>
    </row>
    <row r="88" spans="1:14">
      <c r="A88" s="521">
        <v>72</v>
      </c>
      <c r="B88" s="531" t="s">
        <v>808</v>
      </c>
      <c r="C88" s="529" t="s">
        <v>1047</v>
      </c>
      <c r="D88" s="529" t="s">
        <v>1006</v>
      </c>
      <c r="E88" s="530">
        <v>740000</v>
      </c>
      <c r="F88" s="530">
        <f>+E88*0.4</f>
        <v>296000</v>
      </c>
      <c r="G88" s="530"/>
      <c r="H88" s="520">
        <v>132000</v>
      </c>
      <c r="I88" s="520">
        <v>26400</v>
      </c>
      <c r="J88" s="530"/>
      <c r="K88" s="530"/>
      <c r="L88" s="525">
        <f t="shared" si="3"/>
        <v>592000</v>
      </c>
      <c r="M88" s="526">
        <f t="shared" si="4"/>
        <v>1046400</v>
      </c>
      <c r="N88" s="527">
        <f t="shared" si="5"/>
        <v>1786400</v>
      </c>
    </row>
    <row r="89" spans="1:14">
      <c r="A89" s="534">
        <v>73</v>
      </c>
      <c r="B89" s="531" t="s">
        <v>242</v>
      </c>
      <c r="C89" s="540" t="s">
        <v>243</v>
      </c>
      <c r="D89" s="540" t="s">
        <v>244</v>
      </c>
      <c r="E89" s="530">
        <v>659767</v>
      </c>
      <c r="F89" s="530">
        <f>+E89*0.4</f>
        <v>263906.8</v>
      </c>
      <c r="G89" s="530">
        <v>98965</v>
      </c>
      <c r="H89" s="520">
        <v>132000</v>
      </c>
      <c r="I89" s="520">
        <v>26400</v>
      </c>
      <c r="J89" s="530">
        <f>+E89*0.15</f>
        <v>98965.05</v>
      </c>
      <c r="K89" s="530"/>
      <c r="L89" s="525">
        <f t="shared" si="3"/>
        <v>527813.6</v>
      </c>
      <c r="M89" s="526">
        <f t="shared" si="4"/>
        <v>1148050.45</v>
      </c>
      <c r="N89" s="527">
        <f t="shared" si="5"/>
        <v>1807817.45</v>
      </c>
    </row>
    <row r="90" spans="1:14" ht="28.5">
      <c r="A90" s="521">
        <v>74</v>
      </c>
      <c r="B90" s="532" t="s">
        <v>247</v>
      </c>
      <c r="C90" s="529" t="s">
        <v>248</v>
      </c>
      <c r="D90" s="529" t="s">
        <v>249</v>
      </c>
      <c r="E90" s="530">
        <v>587443</v>
      </c>
      <c r="F90" s="530">
        <f>+E90*0.4</f>
        <v>234977.2</v>
      </c>
      <c r="G90" s="530"/>
      <c r="H90" s="520">
        <v>132000</v>
      </c>
      <c r="I90" s="520">
        <v>26400</v>
      </c>
      <c r="J90" s="530">
        <f>+E90*0.15</f>
        <v>88116.45</v>
      </c>
      <c r="K90" s="530"/>
      <c r="L90" s="525">
        <f t="shared" si="3"/>
        <v>469954.4</v>
      </c>
      <c r="M90" s="526">
        <f t="shared" si="4"/>
        <v>951448.05</v>
      </c>
      <c r="N90" s="527">
        <f t="shared" si="5"/>
        <v>1538891.05</v>
      </c>
    </row>
    <row r="91" spans="1:14" ht="28.5">
      <c r="A91" s="534">
        <v>75</v>
      </c>
      <c r="B91" s="531" t="s">
        <v>816</v>
      </c>
      <c r="C91" s="529" t="s">
        <v>1048</v>
      </c>
      <c r="D91" s="529" t="s">
        <v>249</v>
      </c>
      <c r="E91" s="530">
        <v>526634</v>
      </c>
      <c r="F91" s="530"/>
      <c r="G91" s="530"/>
      <c r="H91" s="520">
        <v>132000</v>
      </c>
      <c r="I91" s="520">
        <v>26400</v>
      </c>
      <c r="J91" s="530"/>
      <c r="K91" s="530"/>
      <c r="L91" s="525">
        <f t="shared" si="3"/>
        <v>421307.2</v>
      </c>
      <c r="M91" s="526">
        <f t="shared" si="4"/>
        <v>579707.19999999995</v>
      </c>
      <c r="N91" s="527">
        <f t="shared" si="5"/>
        <v>1106341.2</v>
      </c>
    </row>
    <row r="92" spans="1:14">
      <c r="A92" s="521">
        <v>76</v>
      </c>
      <c r="B92" s="531" t="s">
        <v>250</v>
      </c>
      <c r="C92" s="529" t="s">
        <v>815</v>
      </c>
      <c r="D92" s="529" t="s">
        <v>244</v>
      </c>
      <c r="E92" s="530">
        <v>634912</v>
      </c>
      <c r="F92" s="530">
        <f>+E92*0.3</f>
        <v>190473.60000000001</v>
      </c>
      <c r="G92" s="530"/>
      <c r="H92" s="520">
        <v>132000</v>
      </c>
      <c r="I92" s="520">
        <v>26400</v>
      </c>
      <c r="J92" s="530"/>
      <c r="K92" s="530"/>
      <c r="L92" s="525">
        <f t="shared" si="3"/>
        <v>507929.60000000003</v>
      </c>
      <c r="M92" s="526">
        <f t="shared" si="4"/>
        <v>856803.2</v>
      </c>
      <c r="N92" s="527">
        <f t="shared" si="5"/>
        <v>1491715.2</v>
      </c>
    </row>
    <row r="93" spans="1:14">
      <c r="A93" s="541"/>
      <c r="B93" s="542" t="s">
        <v>1049</v>
      </c>
      <c r="C93" s="542"/>
      <c r="D93" s="543"/>
      <c r="E93" s="544">
        <f>SUM(E10:E92)</f>
        <v>47544444.981799997</v>
      </c>
      <c r="F93" s="544">
        <f>SUM(F10:F92)</f>
        <v>6943484.9963600002</v>
      </c>
      <c r="G93" s="544">
        <f>SUM(G11:G92)</f>
        <v>247365</v>
      </c>
      <c r="H93" s="544">
        <f>SUM(H10:H92)</f>
        <v>10032000</v>
      </c>
      <c r="I93" s="544">
        <f>SUM(I10:I92)</f>
        <v>2006400</v>
      </c>
      <c r="J93" s="544">
        <f>SUM(J11:J92)</f>
        <v>1417515.7</v>
      </c>
      <c r="K93" s="544">
        <f>SUM(K11:K92)</f>
        <v>386265.5</v>
      </c>
      <c r="L93" s="544">
        <f>SUM(L10:L92)</f>
        <v>38035555.985439993</v>
      </c>
      <c r="M93" s="544">
        <f>SUM(M10:M92)</f>
        <v>59068587.1818</v>
      </c>
      <c r="N93" s="544">
        <f>SUM(N10:N92)</f>
        <v>106613032.16360004</v>
      </c>
    </row>
    <row r="94" spans="1:14">
      <c r="A94" s="545"/>
      <c r="B94" s="546"/>
      <c r="C94" s="546"/>
      <c r="D94" s="547"/>
      <c r="E94" s="548"/>
      <c r="F94" s="548"/>
      <c r="G94" s="548"/>
      <c r="H94" s="548"/>
      <c r="I94" s="548"/>
      <c r="J94" s="548"/>
      <c r="K94" s="548"/>
      <c r="L94" s="548"/>
      <c r="M94" s="548"/>
      <c r="N94" s="548"/>
    </row>
  </sheetData>
  <mergeCells count="23">
    <mergeCell ref="N6:N8"/>
    <mergeCell ref="C3:M3"/>
    <mergeCell ref="A6:A8"/>
    <mergeCell ref="B6:B8"/>
    <mergeCell ref="C6:C8"/>
    <mergeCell ref="D6:D8"/>
    <mergeCell ref="E6:E8"/>
    <mergeCell ref="F6:L6"/>
    <mergeCell ref="M6:M8"/>
    <mergeCell ref="A74:D74"/>
    <mergeCell ref="A80:D80"/>
    <mergeCell ref="L7:L8"/>
    <mergeCell ref="A11:D11"/>
    <mergeCell ref="A23:D23"/>
    <mergeCell ref="A36:D36"/>
    <mergeCell ref="A51:D51"/>
    <mergeCell ref="A65:D65"/>
    <mergeCell ref="F7:F8"/>
    <mergeCell ref="G7:G8"/>
    <mergeCell ref="H7:H8"/>
    <mergeCell ref="I7:I8"/>
    <mergeCell ref="J7:J8"/>
    <mergeCell ref="K7:K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workbookViewId="0">
      <selection activeCell="P8" sqref="P8"/>
    </sheetView>
  </sheetViews>
  <sheetFormatPr defaultRowHeight="14.25"/>
  <cols>
    <col min="1" max="1" width="6.7109375" customWidth="1"/>
    <col min="2" max="2" width="22.28515625" customWidth="1"/>
    <col min="3" max="3" width="22.42578125" customWidth="1"/>
    <col min="4" max="4" width="9.85546875" customWidth="1"/>
    <col min="5" max="5" width="12.5703125" customWidth="1"/>
    <col min="6" max="7" width="12" customWidth="1"/>
    <col min="8" max="8" width="11.140625" customWidth="1"/>
    <col min="10" max="10" width="11" customWidth="1"/>
    <col min="11" max="11" width="11.28515625" customWidth="1"/>
    <col min="12" max="12" width="11.85546875" customWidth="1"/>
    <col min="257" max="257" width="6.7109375" customWidth="1"/>
    <col min="258" max="258" width="22.28515625" customWidth="1"/>
    <col min="259" max="259" width="22.42578125" customWidth="1"/>
    <col min="260" max="260" width="9.85546875" customWidth="1"/>
    <col min="261" max="261" width="12.5703125" customWidth="1"/>
    <col min="262" max="263" width="12" customWidth="1"/>
    <col min="264" max="264" width="11.140625" customWidth="1"/>
    <col min="266" max="266" width="11" customWidth="1"/>
    <col min="267" max="267" width="11.28515625" customWidth="1"/>
    <col min="268" max="268" width="11.85546875" customWidth="1"/>
    <col min="513" max="513" width="6.7109375" customWidth="1"/>
    <col min="514" max="514" width="22.28515625" customWidth="1"/>
    <col min="515" max="515" width="22.42578125" customWidth="1"/>
    <col min="516" max="516" width="9.85546875" customWidth="1"/>
    <col min="517" max="517" width="12.5703125" customWidth="1"/>
    <col min="518" max="519" width="12" customWidth="1"/>
    <col min="520" max="520" width="11.140625" customWidth="1"/>
    <col min="522" max="522" width="11" customWidth="1"/>
    <col min="523" max="523" width="11.28515625" customWidth="1"/>
    <col min="524" max="524" width="11.85546875" customWidth="1"/>
    <col min="769" max="769" width="6.7109375" customWidth="1"/>
    <col min="770" max="770" width="22.28515625" customWidth="1"/>
    <col min="771" max="771" width="22.42578125" customWidth="1"/>
    <col min="772" max="772" width="9.85546875" customWidth="1"/>
    <col min="773" max="773" width="12.5703125" customWidth="1"/>
    <col min="774" max="775" width="12" customWidth="1"/>
    <col min="776" max="776" width="11.140625" customWidth="1"/>
    <col min="778" max="778" width="11" customWidth="1"/>
    <col min="779" max="779" width="11.28515625" customWidth="1"/>
    <col min="780" max="780" width="11.85546875" customWidth="1"/>
    <col min="1025" max="1025" width="6.7109375" customWidth="1"/>
    <col min="1026" max="1026" width="22.28515625" customWidth="1"/>
    <col min="1027" max="1027" width="22.42578125" customWidth="1"/>
    <col min="1028" max="1028" width="9.85546875" customWidth="1"/>
    <col min="1029" max="1029" width="12.5703125" customWidth="1"/>
    <col min="1030" max="1031" width="12" customWidth="1"/>
    <col min="1032" max="1032" width="11.140625" customWidth="1"/>
    <col min="1034" max="1034" width="11" customWidth="1"/>
    <col min="1035" max="1035" width="11.28515625" customWidth="1"/>
    <col min="1036" max="1036" width="11.85546875" customWidth="1"/>
    <col min="1281" max="1281" width="6.7109375" customWidth="1"/>
    <col min="1282" max="1282" width="22.28515625" customWidth="1"/>
    <col min="1283" max="1283" width="22.42578125" customWidth="1"/>
    <col min="1284" max="1284" width="9.85546875" customWidth="1"/>
    <col min="1285" max="1285" width="12.5703125" customWidth="1"/>
    <col min="1286" max="1287" width="12" customWidth="1"/>
    <col min="1288" max="1288" width="11.140625" customWidth="1"/>
    <col min="1290" max="1290" width="11" customWidth="1"/>
    <col min="1291" max="1291" width="11.28515625" customWidth="1"/>
    <col min="1292" max="1292" width="11.85546875" customWidth="1"/>
    <col min="1537" max="1537" width="6.7109375" customWidth="1"/>
    <col min="1538" max="1538" width="22.28515625" customWidth="1"/>
    <col min="1539" max="1539" width="22.42578125" customWidth="1"/>
    <col min="1540" max="1540" width="9.85546875" customWidth="1"/>
    <col min="1541" max="1541" width="12.5703125" customWidth="1"/>
    <col min="1542" max="1543" width="12" customWidth="1"/>
    <col min="1544" max="1544" width="11.140625" customWidth="1"/>
    <col min="1546" max="1546" width="11" customWidth="1"/>
    <col min="1547" max="1547" width="11.28515625" customWidth="1"/>
    <col min="1548" max="1548" width="11.85546875" customWidth="1"/>
    <col min="1793" max="1793" width="6.7109375" customWidth="1"/>
    <col min="1794" max="1794" width="22.28515625" customWidth="1"/>
    <col min="1795" max="1795" width="22.42578125" customWidth="1"/>
    <col min="1796" max="1796" width="9.85546875" customWidth="1"/>
    <col min="1797" max="1797" width="12.5703125" customWidth="1"/>
    <col min="1798" max="1799" width="12" customWidth="1"/>
    <col min="1800" max="1800" width="11.140625" customWidth="1"/>
    <col min="1802" max="1802" width="11" customWidth="1"/>
    <col min="1803" max="1803" width="11.28515625" customWidth="1"/>
    <col min="1804" max="1804" width="11.85546875" customWidth="1"/>
    <col min="2049" max="2049" width="6.7109375" customWidth="1"/>
    <col min="2050" max="2050" width="22.28515625" customWidth="1"/>
    <col min="2051" max="2051" width="22.42578125" customWidth="1"/>
    <col min="2052" max="2052" width="9.85546875" customWidth="1"/>
    <col min="2053" max="2053" width="12.5703125" customWidth="1"/>
    <col min="2054" max="2055" width="12" customWidth="1"/>
    <col min="2056" max="2056" width="11.140625" customWidth="1"/>
    <col min="2058" max="2058" width="11" customWidth="1"/>
    <col min="2059" max="2059" width="11.28515625" customWidth="1"/>
    <col min="2060" max="2060" width="11.85546875" customWidth="1"/>
    <col min="2305" max="2305" width="6.7109375" customWidth="1"/>
    <col min="2306" max="2306" width="22.28515625" customWidth="1"/>
    <col min="2307" max="2307" width="22.42578125" customWidth="1"/>
    <col min="2308" max="2308" width="9.85546875" customWidth="1"/>
    <col min="2309" max="2309" width="12.5703125" customWidth="1"/>
    <col min="2310" max="2311" width="12" customWidth="1"/>
    <col min="2312" max="2312" width="11.140625" customWidth="1"/>
    <col min="2314" max="2314" width="11" customWidth="1"/>
    <col min="2315" max="2315" width="11.28515625" customWidth="1"/>
    <col min="2316" max="2316" width="11.85546875" customWidth="1"/>
    <col min="2561" max="2561" width="6.7109375" customWidth="1"/>
    <col min="2562" max="2562" width="22.28515625" customWidth="1"/>
    <col min="2563" max="2563" width="22.42578125" customWidth="1"/>
    <col min="2564" max="2564" width="9.85546875" customWidth="1"/>
    <col min="2565" max="2565" width="12.5703125" customWidth="1"/>
    <col min="2566" max="2567" width="12" customWidth="1"/>
    <col min="2568" max="2568" width="11.140625" customWidth="1"/>
    <col min="2570" max="2570" width="11" customWidth="1"/>
    <col min="2571" max="2571" width="11.28515625" customWidth="1"/>
    <col min="2572" max="2572" width="11.85546875" customWidth="1"/>
    <col min="2817" max="2817" width="6.7109375" customWidth="1"/>
    <col min="2818" max="2818" width="22.28515625" customWidth="1"/>
    <col min="2819" max="2819" width="22.42578125" customWidth="1"/>
    <col min="2820" max="2820" width="9.85546875" customWidth="1"/>
    <col min="2821" max="2821" width="12.5703125" customWidth="1"/>
    <col min="2822" max="2823" width="12" customWidth="1"/>
    <col min="2824" max="2824" width="11.140625" customWidth="1"/>
    <col min="2826" max="2826" width="11" customWidth="1"/>
    <col min="2827" max="2827" width="11.28515625" customWidth="1"/>
    <col min="2828" max="2828" width="11.85546875" customWidth="1"/>
    <col min="3073" max="3073" width="6.7109375" customWidth="1"/>
    <col min="3074" max="3074" width="22.28515625" customWidth="1"/>
    <col min="3075" max="3075" width="22.42578125" customWidth="1"/>
    <col min="3076" max="3076" width="9.85546875" customWidth="1"/>
    <col min="3077" max="3077" width="12.5703125" customWidth="1"/>
    <col min="3078" max="3079" width="12" customWidth="1"/>
    <col min="3080" max="3080" width="11.140625" customWidth="1"/>
    <col min="3082" max="3082" width="11" customWidth="1"/>
    <col min="3083" max="3083" width="11.28515625" customWidth="1"/>
    <col min="3084" max="3084" width="11.85546875" customWidth="1"/>
    <col min="3329" max="3329" width="6.7109375" customWidth="1"/>
    <col min="3330" max="3330" width="22.28515625" customWidth="1"/>
    <col min="3331" max="3331" width="22.42578125" customWidth="1"/>
    <col min="3332" max="3332" width="9.85546875" customWidth="1"/>
    <col min="3333" max="3333" width="12.5703125" customWidth="1"/>
    <col min="3334" max="3335" width="12" customWidth="1"/>
    <col min="3336" max="3336" width="11.140625" customWidth="1"/>
    <col min="3338" max="3338" width="11" customWidth="1"/>
    <col min="3339" max="3339" width="11.28515625" customWidth="1"/>
    <col min="3340" max="3340" width="11.85546875" customWidth="1"/>
    <col min="3585" max="3585" width="6.7109375" customWidth="1"/>
    <col min="3586" max="3586" width="22.28515625" customWidth="1"/>
    <col min="3587" max="3587" width="22.42578125" customWidth="1"/>
    <col min="3588" max="3588" width="9.85546875" customWidth="1"/>
    <col min="3589" max="3589" width="12.5703125" customWidth="1"/>
    <col min="3590" max="3591" width="12" customWidth="1"/>
    <col min="3592" max="3592" width="11.140625" customWidth="1"/>
    <col min="3594" max="3594" width="11" customWidth="1"/>
    <col min="3595" max="3595" width="11.28515625" customWidth="1"/>
    <col min="3596" max="3596" width="11.85546875" customWidth="1"/>
    <col min="3841" max="3841" width="6.7109375" customWidth="1"/>
    <col min="3842" max="3842" width="22.28515625" customWidth="1"/>
    <col min="3843" max="3843" width="22.42578125" customWidth="1"/>
    <col min="3844" max="3844" width="9.85546875" customWidth="1"/>
    <col min="3845" max="3845" width="12.5703125" customWidth="1"/>
    <col min="3846" max="3847" width="12" customWidth="1"/>
    <col min="3848" max="3848" width="11.140625" customWidth="1"/>
    <col min="3850" max="3850" width="11" customWidth="1"/>
    <col min="3851" max="3851" width="11.28515625" customWidth="1"/>
    <col min="3852" max="3852" width="11.85546875" customWidth="1"/>
    <col min="4097" max="4097" width="6.7109375" customWidth="1"/>
    <col min="4098" max="4098" width="22.28515625" customWidth="1"/>
    <col min="4099" max="4099" width="22.42578125" customWidth="1"/>
    <col min="4100" max="4100" width="9.85546875" customWidth="1"/>
    <col min="4101" max="4101" width="12.5703125" customWidth="1"/>
    <col min="4102" max="4103" width="12" customWidth="1"/>
    <col min="4104" max="4104" width="11.140625" customWidth="1"/>
    <col min="4106" max="4106" width="11" customWidth="1"/>
    <col min="4107" max="4107" width="11.28515625" customWidth="1"/>
    <col min="4108" max="4108" width="11.85546875" customWidth="1"/>
    <col min="4353" max="4353" width="6.7109375" customWidth="1"/>
    <col min="4354" max="4354" width="22.28515625" customWidth="1"/>
    <col min="4355" max="4355" width="22.42578125" customWidth="1"/>
    <col min="4356" max="4356" width="9.85546875" customWidth="1"/>
    <col min="4357" max="4357" width="12.5703125" customWidth="1"/>
    <col min="4358" max="4359" width="12" customWidth="1"/>
    <col min="4360" max="4360" width="11.140625" customWidth="1"/>
    <col min="4362" max="4362" width="11" customWidth="1"/>
    <col min="4363" max="4363" width="11.28515625" customWidth="1"/>
    <col min="4364" max="4364" width="11.85546875" customWidth="1"/>
    <col min="4609" max="4609" width="6.7109375" customWidth="1"/>
    <col min="4610" max="4610" width="22.28515625" customWidth="1"/>
    <col min="4611" max="4611" width="22.42578125" customWidth="1"/>
    <col min="4612" max="4612" width="9.85546875" customWidth="1"/>
    <col min="4613" max="4613" width="12.5703125" customWidth="1"/>
    <col min="4614" max="4615" width="12" customWidth="1"/>
    <col min="4616" max="4616" width="11.140625" customWidth="1"/>
    <col min="4618" max="4618" width="11" customWidth="1"/>
    <col min="4619" max="4619" width="11.28515625" customWidth="1"/>
    <col min="4620" max="4620" width="11.85546875" customWidth="1"/>
    <col min="4865" max="4865" width="6.7109375" customWidth="1"/>
    <col min="4866" max="4866" width="22.28515625" customWidth="1"/>
    <col min="4867" max="4867" width="22.42578125" customWidth="1"/>
    <col min="4868" max="4868" width="9.85546875" customWidth="1"/>
    <col min="4869" max="4869" width="12.5703125" customWidth="1"/>
    <col min="4870" max="4871" width="12" customWidth="1"/>
    <col min="4872" max="4872" width="11.140625" customWidth="1"/>
    <col min="4874" max="4874" width="11" customWidth="1"/>
    <col min="4875" max="4875" width="11.28515625" customWidth="1"/>
    <col min="4876" max="4876" width="11.85546875" customWidth="1"/>
    <col min="5121" max="5121" width="6.7109375" customWidth="1"/>
    <col min="5122" max="5122" width="22.28515625" customWidth="1"/>
    <col min="5123" max="5123" width="22.42578125" customWidth="1"/>
    <col min="5124" max="5124" width="9.85546875" customWidth="1"/>
    <col min="5125" max="5125" width="12.5703125" customWidth="1"/>
    <col min="5126" max="5127" width="12" customWidth="1"/>
    <col min="5128" max="5128" width="11.140625" customWidth="1"/>
    <col min="5130" max="5130" width="11" customWidth="1"/>
    <col min="5131" max="5131" width="11.28515625" customWidth="1"/>
    <col min="5132" max="5132" width="11.85546875" customWidth="1"/>
    <col min="5377" max="5377" width="6.7109375" customWidth="1"/>
    <col min="5378" max="5378" width="22.28515625" customWidth="1"/>
    <col min="5379" max="5379" width="22.42578125" customWidth="1"/>
    <col min="5380" max="5380" width="9.85546875" customWidth="1"/>
    <col min="5381" max="5381" width="12.5703125" customWidth="1"/>
    <col min="5382" max="5383" width="12" customWidth="1"/>
    <col min="5384" max="5384" width="11.140625" customWidth="1"/>
    <col min="5386" max="5386" width="11" customWidth="1"/>
    <col min="5387" max="5387" width="11.28515625" customWidth="1"/>
    <col min="5388" max="5388" width="11.85546875" customWidth="1"/>
    <col min="5633" max="5633" width="6.7109375" customWidth="1"/>
    <col min="5634" max="5634" width="22.28515625" customWidth="1"/>
    <col min="5635" max="5635" width="22.42578125" customWidth="1"/>
    <col min="5636" max="5636" width="9.85546875" customWidth="1"/>
    <col min="5637" max="5637" width="12.5703125" customWidth="1"/>
    <col min="5638" max="5639" width="12" customWidth="1"/>
    <col min="5640" max="5640" width="11.140625" customWidth="1"/>
    <col min="5642" max="5642" width="11" customWidth="1"/>
    <col min="5643" max="5643" width="11.28515625" customWidth="1"/>
    <col min="5644" max="5644" width="11.85546875" customWidth="1"/>
    <col min="5889" max="5889" width="6.7109375" customWidth="1"/>
    <col min="5890" max="5890" width="22.28515625" customWidth="1"/>
    <col min="5891" max="5891" width="22.42578125" customWidth="1"/>
    <col min="5892" max="5892" width="9.85546875" customWidth="1"/>
    <col min="5893" max="5893" width="12.5703125" customWidth="1"/>
    <col min="5894" max="5895" width="12" customWidth="1"/>
    <col min="5896" max="5896" width="11.140625" customWidth="1"/>
    <col min="5898" max="5898" width="11" customWidth="1"/>
    <col min="5899" max="5899" width="11.28515625" customWidth="1"/>
    <col min="5900" max="5900" width="11.85546875" customWidth="1"/>
    <col min="6145" max="6145" width="6.7109375" customWidth="1"/>
    <col min="6146" max="6146" width="22.28515625" customWidth="1"/>
    <col min="6147" max="6147" width="22.42578125" customWidth="1"/>
    <col min="6148" max="6148" width="9.85546875" customWidth="1"/>
    <col min="6149" max="6149" width="12.5703125" customWidth="1"/>
    <col min="6150" max="6151" width="12" customWidth="1"/>
    <col min="6152" max="6152" width="11.140625" customWidth="1"/>
    <col min="6154" max="6154" width="11" customWidth="1"/>
    <col min="6155" max="6155" width="11.28515625" customWidth="1"/>
    <col min="6156" max="6156" width="11.85546875" customWidth="1"/>
    <col min="6401" max="6401" width="6.7109375" customWidth="1"/>
    <col min="6402" max="6402" width="22.28515625" customWidth="1"/>
    <col min="6403" max="6403" width="22.42578125" customWidth="1"/>
    <col min="6404" max="6404" width="9.85546875" customWidth="1"/>
    <col min="6405" max="6405" width="12.5703125" customWidth="1"/>
    <col min="6406" max="6407" width="12" customWidth="1"/>
    <col min="6408" max="6408" width="11.140625" customWidth="1"/>
    <col min="6410" max="6410" width="11" customWidth="1"/>
    <col min="6411" max="6411" width="11.28515625" customWidth="1"/>
    <col min="6412" max="6412" width="11.85546875" customWidth="1"/>
    <col min="6657" max="6657" width="6.7109375" customWidth="1"/>
    <col min="6658" max="6658" width="22.28515625" customWidth="1"/>
    <col min="6659" max="6659" width="22.42578125" customWidth="1"/>
    <col min="6660" max="6660" width="9.85546875" customWidth="1"/>
    <col min="6661" max="6661" width="12.5703125" customWidth="1"/>
    <col min="6662" max="6663" width="12" customWidth="1"/>
    <col min="6664" max="6664" width="11.140625" customWidth="1"/>
    <col min="6666" max="6666" width="11" customWidth="1"/>
    <col min="6667" max="6667" width="11.28515625" customWidth="1"/>
    <col min="6668" max="6668" width="11.85546875" customWidth="1"/>
    <col min="6913" max="6913" width="6.7109375" customWidth="1"/>
    <col min="6914" max="6914" width="22.28515625" customWidth="1"/>
    <col min="6915" max="6915" width="22.42578125" customWidth="1"/>
    <col min="6916" max="6916" width="9.85546875" customWidth="1"/>
    <col min="6917" max="6917" width="12.5703125" customWidth="1"/>
    <col min="6918" max="6919" width="12" customWidth="1"/>
    <col min="6920" max="6920" width="11.140625" customWidth="1"/>
    <col min="6922" max="6922" width="11" customWidth="1"/>
    <col min="6923" max="6923" width="11.28515625" customWidth="1"/>
    <col min="6924" max="6924" width="11.85546875" customWidth="1"/>
    <col min="7169" max="7169" width="6.7109375" customWidth="1"/>
    <col min="7170" max="7170" width="22.28515625" customWidth="1"/>
    <col min="7171" max="7171" width="22.42578125" customWidth="1"/>
    <col min="7172" max="7172" width="9.85546875" customWidth="1"/>
    <col min="7173" max="7173" width="12.5703125" customWidth="1"/>
    <col min="7174" max="7175" width="12" customWidth="1"/>
    <col min="7176" max="7176" width="11.140625" customWidth="1"/>
    <col min="7178" max="7178" width="11" customWidth="1"/>
    <col min="7179" max="7179" width="11.28515625" customWidth="1"/>
    <col min="7180" max="7180" width="11.85546875" customWidth="1"/>
    <col min="7425" max="7425" width="6.7109375" customWidth="1"/>
    <col min="7426" max="7426" width="22.28515625" customWidth="1"/>
    <col min="7427" max="7427" width="22.42578125" customWidth="1"/>
    <col min="7428" max="7428" width="9.85546875" customWidth="1"/>
    <col min="7429" max="7429" width="12.5703125" customWidth="1"/>
    <col min="7430" max="7431" width="12" customWidth="1"/>
    <col min="7432" max="7432" width="11.140625" customWidth="1"/>
    <col min="7434" max="7434" width="11" customWidth="1"/>
    <col min="7435" max="7435" width="11.28515625" customWidth="1"/>
    <col min="7436" max="7436" width="11.85546875" customWidth="1"/>
    <col min="7681" max="7681" width="6.7109375" customWidth="1"/>
    <col min="7682" max="7682" width="22.28515625" customWidth="1"/>
    <col min="7683" max="7683" width="22.42578125" customWidth="1"/>
    <col min="7684" max="7684" width="9.85546875" customWidth="1"/>
    <col min="7685" max="7685" width="12.5703125" customWidth="1"/>
    <col min="7686" max="7687" width="12" customWidth="1"/>
    <col min="7688" max="7688" width="11.140625" customWidth="1"/>
    <col min="7690" max="7690" width="11" customWidth="1"/>
    <col min="7691" max="7691" width="11.28515625" customWidth="1"/>
    <col min="7692" max="7692" width="11.85546875" customWidth="1"/>
    <col min="7937" max="7937" width="6.7109375" customWidth="1"/>
    <col min="7938" max="7938" width="22.28515625" customWidth="1"/>
    <col min="7939" max="7939" width="22.42578125" customWidth="1"/>
    <col min="7940" max="7940" width="9.85546875" customWidth="1"/>
    <col min="7941" max="7941" width="12.5703125" customWidth="1"/>
    <col min="7942" max="7943" width="12" customWidth="1"/>
    <col min="7944" max="7944" width="11.140625" customWidth="1"/>
    <col min="7946" max="7946" width="11" customWidth="1"/>
    <col min="7947" max="7947" width="11.28515625" customWidth="1"/>
    <col min="7948" max="7948" width="11.85546875" customWidth="1"/>
    <col min="8193" max="8193" width="6.7109375" customWidth="1"/>
    <col min="8194" max="8194" width="22.28515625" customWidth="1"/>
    <col min="8195" max="8195" width="22.42578125" customWidth="1"/>
    <col min="8196" max="8196" width="9.85546875" customWidth="1"/>
    <col min="8197" max="8197" width="12.5703125" customWidth="1"/>
    <col min="8198" max="8199" width="12" customWidth="1"/>
    <col min="8200" max="8200" width="11.140625" customWidth="1"/>
    <col min="8202" max="8202" width="11" customWidth="1"/>
    <col min="8203" max="8203" width="11.28515625" customWidth="1"/>
    <col min="8204" max="8204" width="11.85546875" customWidth="1"/>
    <col min="8449" max="8449" width="6.7109375" customWidth="1"/>
    <col min="8450" max="8450" width="22.28515625" customWidth="1"/>
    <col min="8451" max="8451" width="22.42578125" customWidth="1"/>
    <col min="8452" max="8452" width="9.85546875" customWidth="1"/>
    <col min="8453" max="8453" width="12.5703125" customWidth="1"/>
    <col min="8454" max="8455" width="12" customWidth="1"/>
    <col min="8456" max="8456" width="11.140625" customWidth="1"/>
    <col min="8458" max="8458" width="11" customWidth="1"/>
    <col min="8459" max="8459" width="11.28515625" customWidth="1"/>
    <col min="8460" max="8460" width="11.85546875" customWidth="1"/>
    <col min="8705" max="8705" width="6.7109375" customWidth="1"/>
    <col min="8706" max="8706" width="22.28515625" customWidth="1"/>
    <col min="8707" max="8707" width="22.42578125" customWidth="1"/>
    <col min="8708" max="8708" width="9.85546875" customWidth="1"/>
    <col min="8709" max="8709" width="12.5703125" customWidth="1"/>
    <col min="8710" max="8711" width="12" customWidth="1"/>
    <col min="8712" max="8712" width="11.140625" customWidth="1"/>
    <col min="8714" max="8714" width="11" customWidth="1"/>
    <col min="8715" max="8715" width="11.28515625" customWidth="1"/>
    <col min="8716" max="8716" width="11.85546875" customWidth="1"/>
    <col min="8961" max="8961" width="6.7109375" customWidth="1"/>
    <col min="8962" max="8962" width="22.28515625" customWidth="1"/>
    <col min="8963" max="8963" width="22.42578125" customWidth="1"/>
    <col min="8964" max="8964" width="9.85546875" customWidth="1"/>
    <col min="8965" max="8965" width="12.5703125" customWidth="1"/>
    <col min="8966" max="8967" width="12" customWidth="1"/>
    <col min="8968" max="8968" width="11.140625" customWidth="1"/>
    <col min="8970" max="8970" width="11" customWidth="1"/>
    <col min="8971" max="8971" width="11.28515625" customWidth="1"/>
    <col min="8972" max="8972" width="11.85546875" customWidth="1"/>
    <col min="9217" max="9217" width="6.7109375" customWidth="1"/>
    <col min="9218" max="9218" width="22.28515625" customWidth="1"/>
    <col min="9219" max="9219" width="22.42578125" customWidth="1"/>
    <col min="9220" max="9220" width="9.85546875" customWidth="1"/>
    <col min="9221" max="9221" width="12.5703125" customWidth="1"/>
    <col min="9222" max="9223" width="12" customWidth="1"/>
    <col min="9224" max="9224" width="11.140625" customWidth="1"/>
    <col min="9226" max="9226" width="11" customWidth="1"/>
    <col min="9227" max="9227" width="11.28515625" customWidth="1"/>
    <col min="9228" max="9228" width="11.85546875" customWidth="1"/>
    <col min="9473" max="9473" width="6.7109375" customWidth="1"/>
    <col min="9474" max="9474" width="22.28515625" customWidth="1"/>
    <col min="9475" max="9475" width="22.42578125" customWidth="1"/>
    <col min="9476" max="9476" width="9.85546875" customWidth="1"/>
    <col min="9477" max="9477" width="12.5703125" customWidth="1"/>
    <col min="9478" max="9479" width="12" customWidth="1"/>
    <col min="9480" max="9480" width="11.140625" customWidth="1"/>
    <col min="9482" max="9482" width="11" customWidth="1"/>
    <col min="9483" max="9483" width="11.28515625" customWidth="1"/>
    <col min="9484" max="9484" width="11.85546875" customWidth="1"/>
    <col min="9729" max="9729" width="6.7109375" customWidth="1"/>
    <col min="9730" max="9730" width="22.28515625" customWidth="1"/>
    <col min="9731" max="9731" width="22.42578125" customWidth="1"/>
    <col min="9732" max="9732" width="9.85546875" customWidth="1"/>
    <col min="9733" max="9733" width="12.5703125" customWidth="1"/>
    <col min="9734" max="9735" width="12" customWidth="1"/>
    <col min="9736" max="9736" width="11.140625" customWidth="1"/>
    <col min="9738" max="9738" width="11" customWidth="1"/>
    <col min="9739" max="9739" width="11.28515625" customWidth="1"/>
    <col min="9740" max="9740" width="11.85546875" customWidth="1"/>
    <col min="9985" max="9985" width="6.7109375" customWidth="1"/>
    <col min="9986" max="9986" width="22.28515625" customWidth="1"/>
    <col min="9987" max="9987" width="22.42578125" customWidth="1"/>
    <col min="9988" max="9988" width="9.85546875" customWidth="1"/>
    <col min="9989" max="9989" width="12.5703125" customWidth="1"/>
    <col min="9990" max="9991" width="12" customWidth="1"/>
    <col min="9992" max="9992" width="11.140625" customWidth="1"/>
    <col min="9994" max="9994" width="11" customWidth="1"/>
    <col min="9995" max="9995" width="11.28515625" customWidth="1"/>
    <col min="9996" max="9996" width="11.85546875" customWidth="1"/>
    <col min="10241" max="10241" width="6.7109375" customWidth="1"/>
    <col min="10242" max="10242" width="22.28515625" customWidth="1"/>
    <col min="10243" max="10243" width="22.42578125" customWidth="1"/>
    <col min="10244" max="10244" width="9.85546875" customWidth="1"/>
    <col min="10245" max="10245" width="12.5703125" customWidth="1"/>
    <col min="10246" max="10247" width="12" customWidth="1"/>
    <col min="10248" max="10248" width="11.140625" customWidth="1"/>
    <col min="10250" max="10250" width="11" customWidth="1"/>
    <col min="10251" max="10251" width="11.28515625" customWidth="1"/>
    <col min="10252" max="10252" width="11.85546875" customWidth="1"/>
    <col min="10497" max="10497" width="6.7109375" customWidth="1"/>
    <col min="10498" max="10498" width="22.28515625" customWidth="1"/>
    <col min="10499" max="10499" width="22.42578125" customWidth="1"/>
    <col min="10500" max="10500" width="9.85546875" customWidth="1"/>
    <col min="10501" max="10501" width="12.5703125" customWidth="1"/>
    <col min="10502" max="10503" width="12" customWidth="1"/>
    <col min="10504" max="10504" width="11.140625" customWidth="1"/>
    <col min="10506" max="10506" width="11" customWidth="1"/>
    <col min="10507" max="10507" width="11.28515625" customWidth="1"/>
    <col min="10508" max="10508" width="11.85546875" customWidth="1"/>
    <col min="10753" max="10753" width="6.7109375" customWidth="1"/>
    <col min="10754" max="10754" width="22.28515625" customWidth="1"/>
    <col min="10755" max="10755" width="22.42578125" customWidth="1"/>
    <col min="10756" max="10756" width="9.85546875" customWidth="1"/>
    <col min="10757" max="10757" width="12.5703125" customWidth="1"/>
    <col min="10758" max="10759" width="12" customWidth="1"/>
    <col min="10760" max="10760" width="11.140625" customWidth="1"/>
    <col min="10762" max="10762" width="11" customWidth="1"/>
    <col min="10763" max="10763" width="11.28515625" customWidth="1"/>
    <col min="10764" max="10764" width="11.85546875" customWidth="1"/>
    <col min="11009" max="11009" width="6.7109375" customWidth="1"/>
    <col min="11010" max="11010" width="22.28515625" customWidth="1"/>
    <col min="11011" max="11011" width="22.42578125" customWidth="1"/>
    <col min="11012" max="11012" width="9.85546875" customWidth="1"/>
    <col min="11013" max="11013" width="12.5703125" customWidth="1"/>
    <col min="11014" max="11015" width="12" customWidth="1"/>
    <col min="11016" max="11016" width="11.140625" customWidth="1"/>
    <col min="11018" max="11018" width="11" customWidth="1"/>
    <col min="11019" max="11019" width="11.28515625" customWidth="1"/>
    <col min="11020" max="11020" width="11.85546875" customWidth="1"/>
    <col min="11265" max="11265" width="6.7109375" customWidth="1"/>
    <col min="11266" max="11266" width="22.28515625" customWidth="1"/>
    <col min="11267" max="11267" width="22.42578125" customWidth="1"/>
    <col min="11268" max="11268" width="9.85546875" customWidth="1"/>
    <col min="11269" max="11269" width="12.5703125" customWidth="1"/>
    <col min="11270" max="11271" width="12" customWidth="1"/>
    <col min="11272" max="11272" width="11.140625" customWidth="1"/>
    <col min="11274" max="11274" width="11" customWidth="1"/>
    <col min="11275" max="11275" width="11.28515625" customWidth="1"/>
    <col min="11276" max="11276" width="11.85546875" customWidth="1"/>
    <col min="11521" max="11521" width="6.7109375" customWidth="1"/>
    <col min="11522" max="11522" width="22.28515625" customWidth="1"/>
    <col min="11523" max="11523" width="22.42578125" customWidth="1"/>
    <col min="11524" max="11524" width="9.85546875" customWidth="1"/>
    <col min="11525" max="11525" width="12.5703125" customWidth="1"/>
    <col min="11526" max="11527" width="12" customWidth="1"/>
    <col min="11528" max="11528" width="11.140625" customWidth="1"/>
    <col min="11530" max="11530" width="11" customWidth="1"/>
    <col min="11531" max="11531" width="11.28515625" customWidth="1"/>
    <col min="11532" max="11532" width="11.85546875" customWidth="1"/>
    <col min="11777" max="11777" width="6.7109375" customWidth="1"/>
    <col min="11778" max="11778" width="22.28515625" customWidth="1"/>
    <col min="11779" max="11779" width="22.42578125" customWidth="1"/>
    <col min="11780" max="11780" width="9.85546875" customWidth="1"/>
    <col min="11781" max="11781" width="12.5703125" customWidth="1"/>
    <col min="11782" max="11783" width="12" customWidth="1"/>
    <col min="11784" max="11784" width="11.140625" customWidth="1"/>
    <col min="11786" max="11786" width="11" customWidth="1"/>
    <col min="11787" max="11787" width="11.28515625" customWidth="1"/>
    <col min="11788" max="11788" width="11.85546875" customWidth="1"/>
    <col min="12033" max="12033" width="6.7109375" customWidth="1"/>
    <col min="12034" max="12034" width="22.28515625" customWidth="1"/>
    <col min="12035" max="12035" width="22.42578125" customWidth="1"/>
    <col min="12036" max="12036" width="9.85546875" customWidth="1"/>
    <col min="12037" max="12037" width="12.5703125" customWidth="1"/>
    <col min="12038" max="12039" width="12" customWidth="1"/>
    <col min="12040" max="12040" width="11.140625" customWidth="1"/>
    <col min="12042" max="12042" width="11" customWidth="1"/>
    <col min="12043" max="12043" width="11.28515625" customWidth="1"/>
    <col min="12044" max="12044" width="11.85546875" customWidth="1"/>
    <col min="12289" max="12289" width="6.7109375" customWidth="1"/>
    <col min="12290" max="12290" width="22.28515625" customWidth="1"/>
    <col min="12291" max="12291" width="22.42578125" customWidth="1"/>
    <col min="12292" max="12292" width="9.85546875" customWidth="1"/>
    <col min="12293" max="12293" width="12.5703125" customWidth="1"/>
    <col min="12294" max="12295" width="12" customWidth="1"/>
    <col min="12296" max="12296" width="11.140625" customWidth="1"/>
    <col min="12298" max="12298" width="11" customWidth="1"/>
    <col min="12299" max="12299" width="11.28515625" customWidth="1"/>
    <col min="12300" max="12300" width="11.85546875" customWidth="1"/>
    <col min="12545" max="12545" width="6.7109375" customWidth="1"/>
    <col min="12546" max="12546" width="22.28515625" customWidth="1"/>
    <col min="12547" max="12547" width="22.42578125" customWidth="1"/>
    <col min="12548" max="12548" width="9.85546875" customWidth="1"/>
    <col min="12549" max="12549" width="12.5703125" customWidth="1"/>
    <col min="12550" max="12551" width="12" customWidth="1"/>
    <col min="12552" max="12552" width="11.140625" customWidth="1"/>
    <col min="12554" max="12554" width="11" customWidth="1"/>
    <col min="12555" max="12555" width="11.28515625" customWidth="1"/>
    <col min="12556" max="12556" width="11.85546875" customWidth="1"/>
    <col min="12801" max="12801" width="6.7109375" customWidth="1"/>
    <col min="12802" max="12802" width="22.28515625" customWidth="1"/>
    <col min="12803" max="12803" width="22.42578125" customWidth="1"/>
    <col min="12804" max="12804" width="9.85546875" customWidth="1"/>
    <col min="12805" max="12805" width="12.5703125" customWidth="1"/>
    <col min="12806" max="12807" width="12" customWidth="1"/>
    <col min="12808" max="12808" width="11.140625" customWidth="1"/>
    <col min="12810" max="12810" width="11" customWidth="1"/>
    <col min="12811" max="12811" width="11.28515625" customWidth="1"/>
    <col min="12812" max="12812" width="11.85546875" customWidth="1"/>
    <col min="13057" max="13057" width="6.7109375" customWidth="1"/>
    <col min="13058" max="13058" width="22.28515625" customWidth="1"/>
    <col min="13059" max="13059" width="22.42578125" customWidth="1"/>
    <col min="13060" max="13060" width="9.85546875" customWidth="1"/>
    <col min="13061" max="13061" width="12.5703125" customWidth="1"/>
    <col min="13062" max="13063" width="12" customWidth="1"/>
    <col min="13064" max="13064" width="11.140625" customWidth="1"/>
    <col min="13066" max="13066" width="11" customWidth="1"/>
    <col min="13067" max="13067" width="11.28515625" customWidth="1"/>
    <col min="13068" max="13068" width="11.85546875" customWidth="1"/>
    <col min="13313" max="13313" width="6.7109375" customWidth="1"/>
    <col min="13314" max="13314" width="22.28515625" customWidth="1"/>
    <col min="13315" max="13315" width="22.42578125" customWidth="1"/>
    <col min="13316" max="13316" width="9.85546875" customWidth="1"/>
    <col min="13317" max="13317" width="12.5703125" customWidth="1"/>
    <col min="13318" max="13319" width="12" customWidth="1"/>
    <col min="13320" max="13320" width="11.140625" customWidth="1"/>
    <col min="13322" max="13322" width="11" customWidth="1"/>
    <col min="13323" max="13323" width="11.28515625" customWidth="1"/>
    <col min="13324" max="13324" width="11.85546875" customWidth="1"/>
    <col min="13569" max="13569" width="6.7109375" customWidth="1"/>
    <col min="13570" max="13570" width="22.28515625" customWidth="1"/>
    <col min="13571" max="13571" width="22.42578125" customWidth="1"/>
    <col min="13572" max="13572" width="9.85546875" customWidth="1"/>
    <col min="13573" max="13573" width="12.5703125" customWidth="1"/>
    <col min="13574" max="13575" width="12" customWidth="1"/>
    <col min="13576" max="13576" width="11.140625" customWidth="1"/>
    <col min="13578" max="13578" width="11" customWidth="1"/>
    <col min="13579" max="13579" width="11.28515625" customWidth="1"/>
    <col min="13580" max="13580" width="11.85546875" customWidth="1"/>
    <col min="13825" max="13825" width="6.7109375" customWidth="1"/>
    <col min="13826" max="13826" width="22.28515625" customWidth="1"/>
    <col min="13827" max="13827" width="22.42578125" customWidth="1"/>
    <col min="13828" max="13828" width="9.85546875" customWidth="1"/>
    <col min="13829" max="13829" width="12.5703125" customWidth="1"/>
    <col min="13830" max="13831" width="12" customWidth="1"/>
    <col min="13832" max="13832" width="11.140625" customWidth="1"/>
    <col min="13834" max="13834" width="11" customWidth="1"/>
    <col min="13835" max="13835" width="11.28515625" customWidth="1"/>
    <col min="13836" max="13836" width="11.85546875" customWidth="1"/>
    <col min="14081" max="14081" width="6.7109375" customWidth="1"/>
    <col min="14082" max="14082" width="22.28515625" customWidth="1"/>
    <col min="14083" max="14083" width="22.42578125" customWidth="1"/>
    <col min="14084" max="14084" width="9.85546875" customWidth="1"/>
    <col min="14085" max="14085" width="12.5703125" customWidth="1"/>
    <col min="14086" max="14087" width="12" customWidth="1"/>
    <col min="14088" max="14088" width="11.140625" customWidth="1"/>
    <col min="14090" max="14090" width="11" customWidth="1"/>
    <col min="14091" max="14091" width="11.28515625" customWidth="1"/>
    <col min="14092" max="14092" width="11.85546875" customWidth="1"/>
    <col min="14337" max="14337" width="6.7109375" customWidth="1"/>
    <col min="14338" max="14338" width="22.28515625" customWidth="1"/>
    <col min="14339" max="14339" width="22.42578125" customWidth="1"/>
    <col min="14340" max="14340" width="9.85546875" customWidth="1"/>
    <col min="14341" max="14341" width="12.5703125" customWidth="1"/>
    <col min="14342" max="14343" width="12" customWidth="1"/>
    <col min="14344" max="14344" width="11.140625" customWidth="1"/>
    <col min="14346" max="14346" width="11" customWidth="1"/>
    <col min="14347" max="14347" width="11.28515625" customWidth="1"/>
    <col min="14348" max="14348" width="11.85546875" customWidth="1"/>
    <col min="14593" max="14593" width="6.7109375" customWidth="1"/>
    <col min="14594" max="14594" width="22.28515625" customWidth="1"/>
    <col min="14595" max="14595" width="22.42578125" customWidth="1"/>
    <col min="14596" max="14596" width="9.85546875" customWidth="1"/>
    <col min="14597" max="14597" width="12.5703125" customWidth="1"/>
    <col min="14598" max="14599" width="12" customWidth="1"/>
    <col min="14600" max="14600" width="11.140625" customWidth="1"/>
    <col min="14602" max="14602" width="11" customWidth="1"/>
    <col min="14603" max="14603" width="11.28515625" customWidth="1"/>
    <col min="14604" max="14604" width="11.85546875" customWidth="1"/>
    <col min="14849" max="14849" width="6.7109375" customWidth="1"/>
    <col min="14850" max="14850" width="22.28515625" customWidth="1"/>
    <col min="14851" max="14851" width="22.42578125" customWidth="1"/>
    <col min="14852" max="14852" width="9.85546875" customWidth="1"/>
    <col min="14853" max="14853" width="12.5703125" customWidth="1"/>
    <col min="14854" max="14855" width="12" customWidth="1"/>
    <col min="14856" max="14856" width="11.140625" customWidth="1"/>
    <col min="14858" max="14858" width="11" customWidth="1"/>
    <col min="14859" max="14859" width="11.28515625" customWidth="1"/>
    <col min="14860" max="14860" width="11.85546875" customWidth="1"/>
    <col min="15105" max="15105" width="6.7109375" customWidth="1"/>
    <col min="15106" max="15106" width="22.28515625" customWidth="1"/>
    <col min="15107" max="15107" width="22.42578125" customWidth="1"/>
    <col min="15108" max="15108" width="9.85546875" customWidth="1"/>
    <col min="15109" max="15109" width="12.5703125" customWidth="1"/>
    <col min="15110" max="15111" width="12" customWidth="1"/>
    <col min="15112" max="15112" width="11.140625" customWidth="1"/>
    <col min="15114" max="15114" width="11" customWidth="1"/>
    <col min="15115" max="15115" width="11.28515625" customWidth="1"/>
    <col min="15116" max="15116" width="11.85546875" customWidth="1"/>
    <col min="15361" max="15361" width="6.7109375" customWidth="1"/>
    <col min="15362" max="15362" width="22.28515625" customWidth="1"/>
    <col min="15363" max="15363" width="22.42578125" customWidth="1"/>
    <col min="15364" max="15364" width="9.85546875" customWidth="1"/>
    <col min="15365" max="15365" width="12.5703125" customWidth="1"/>
    <col min="15366" max="15367" width="12" customWidth="1"/>
    <col min="15368" max="15368" width="11.140625" customWidth="1"/>
    <col min="15370" max="15370" width="11" customWidth="1"/>
    <col min="15371" max="15371" width="11.28515625" customWidth="1"/>
    <col min="15372" max="15372" width="11.85546875" customWidth="1"/>
    <col min="15617" max="15617" width="6.7109375" customWidth="1"/>
    <col min="15618" max="15618" width="22.28515625" customWidth="1"/>
    <col min="15619" max="15619" width="22.42578125" customWidth="1"/>
    <col min="15620" max="15620" width="9.85546875" customWidth="1"/>
    <col min="15621" max="15621" width="12.5703125" customWidth="1"/>
    <col min="15622" max="15623" width="12" customWidth="1"/>
    <col min="15624" max="15624" width="11.140625" customWidth="1"/>
    <col min="15626" max="15626" width="11" customWidth="1"/>
    <col min="15627" max="15627" width="11.28515625" customWidth="1"/>
    <col min="15628" max="15628" width="11.85546875" customWidth="1"/>
    <col min="15873" max="15873" width="6.7109375" customWidth="1"/>
    <col min="15874" max="15874" width="22.28515625" customWidth="1"/>
    <col min="15875" max="15875" width="22.42578125" customWidth="1"/>
    <col min="15876" max="15876" width="9.85546875" customWidth="1"/>
    <col min="15877" max="15877" width="12.5703125" customWidth="1"/>
    <col min="15878" max="15879" width="12" customWidth="1"/>
    <col min="15880" max="15880" width="11.140625" customWidth="1"/>
    <col min="15882" max="15882" width="11" customWidth="1"/>
    <col min="15883" max="15883" width="11.28515625" customWidth="1"/>
    <col min="15884" max="15884" width="11.85546875" customWidth="1"/>
    <col min="16129" max="16129" width="6.7109375" customWidth="1"/>
    <col min="16130" max="16130" width="22.28515625" customWidth="1"/>
    <col min="16131" max="16131" width="22.42578125" customWidth="1"/>
    <col min="16132" max="16132" width="9.85546875" customWidth="1"/>
    <col min="16133" max="16133" width="12.5703125" customWidth="1"/>
    <col min="16134" max="16135" width="12" customWidth="1"/>
    <col min="16136" max="16136" width="11.140625" customWidth="1"/>
    <col min="16138" max="16138" width="11" customWidth="1"/>
    <col min="16139" max="16139" width="11.28515625" customWidth="1"/>
    <col min="16140" max="16140" width="11.85546875" customWidth="1"/>
  </cols>
  <sheetData>
    <row r="2" spans="1:12">
      <c r="A2" s="513"/>
      <c r="B2" s="513"/>
      <c r="C2" s="513"/>
      <c r="D2" s="519"/>
      <c r="E2" s="514"/>
      <c r="F2" s="515"/>
      <c r="G2" s="515"/>
      <c r="H2" s="515"/>
      <c r="I2" s="1295"/>
      <c r="J2" s="1295"/>
      <c r="K2" s="1295"/>
      <c r="L2" s="1295"/>
    </row>
    <row r="3" spans="1:12">
      <c r="A3" s="513"/>
      <c r="B3" s="513"/>
      <c r="C3" s="513"/>
      <c r="D3" s="519"/>
      <c r="E3" s="514"/>
      <c r="F3" s="515"/>
      <c r="G3" s="515"/>
      <c r="H3" s="515"/>
      <c r="I3" s="1295"/>
      <c r="J3" s="1295"/>
      <c r="K3" s="1295"/>
      <c r="L3" s="1295"/>
    </row>
    <row r="4" spans="1:12">
      <c r="A4" s="513"/>
      <c r="B4" s="513"/>
      <c r="C4" s="513"/>
      <c r="D4" s="519"/>
      <c r="E4" s="514"/>
      <c r="F4" s="515"/>
      <c r="G4" s="515"/>
      <c r="H4" s="515"/>
      <c r="I4" s="1295"/>
      <c r="J4" s="1295"/>
      <c r="K4" s="1295"/>
      <c r="L4" s="1295"/>
    </row>
    <row r="5" spans="1:12">
      <c r="A5" s="513"/>
      <c r="B5" s="513"/>
      <c r="C5" s="513"/>
      <c r="D5" s="519"/>
      <c r="E5" s="514"/>
      <c r="F5" s="515"/>
      <c r="G5" s="515"/>
      <c r="H5" s="515"/>
      <c r="I5" s="549"/>
      <c r="J5" s="549"/>
      <c r="K5" s="549"/>
      <c r="L5" s="549"/>
    </row>
    <row r="6" spans="1:12" ht="16.5">
      <c r="A6" s="1296" t="s">
        <v>1050</v>
      </c>
      <c r="B6" s="1296"/>
      <c r="C6" s="1296"/>
      <c r="D6" s="1296"/>
      <c r="E6" s="1296"/>
      <c r="F6" s="1296"/>
      <c r="G6" s="1296"/>
      <c r="H6" s="1296"/>
      <c r="I6" s="1296"/>
      <c r="J6" s="1296"/>
      <c r="K6" s="1296"/>
      <c r="L6" s="1296"/>
    </row>
    <row r="7" spans="1:12" ht="15">
      <c r="A7" s="513"/>
      <c r="B7" s="513"/>
      <c r="C7" s="550"/>
      <c r="D7" s="519"/>
      <c r="E7" s="514"/>
      <c r="F7" s="514"/>
      <c r="G7" s="514"/>
      <c r="H7" s="514"/>
      <c r="I7" s="514"/>
      <c r="J7" s="514"/>
      <c r="K7" s="519"/>
      <c r="L7" s="517"/>
    </row>
    <row r="8" spans="1:12">
      <c r="A8" s="1267" t="s">
        <v>171</v>
      </c>
      <c r="B8" s="1279" t="s">
        <v>985</v>
      </c>
      <c r="C8" s="1279" t="s">
        <v>172</v>
      </c>
      <c r="D8" s="1267" t="s">
        <v>986</v>
      </c>
      <c r="E8" s="1283" t="s">
        <v>987</v>
      </c>
      <c r="F8" s="1297"/>
      <c r="G8" s="1298"/>
      <c r="H8" s="1298"/>
      <c r="I8" s="1298"/>
      <c r="J8" s="1299"/>
      <c r="K8" s="1267" t="s">
        <v>988</v>
      </c>
      <c r="L8" s="1274" t="s">
        <v>989</v>
      </c>
    </row>
    <row r="9" spans="1:12">
      <c r="A9" s="1267"/>
      <c r="B9" s="1279"/>
      <c r="C9" s="1279"/>
      <c r="D9" s="1267"/>
      <c r="E9" s="1284"/>
      <c r="F9" s="1267" t="s">
        <v>990</v>
      </c>
      <c r="G9" s="1267" t="s">
        <v>530</v>
      </c>
      <c r="H9" s="1267" t="s">
        <v>992</v>
      </c>
      <c r="I9" s="1267" t="s">
        <v>1051</v>
      </c>
      <c r="J9" s="1267" t="s">
        <v>995</v>
      </c>
      <c r="K9" s="1267"/>
      <c r="L9" s="1274"/>
    </row>
    <row r="10" spans="1:12" ht="56.25" customHeight="1">
      <c r="A10" s="1267"/>
      <c r="B10" s="1279"/>
      <c r="C10" s="1279"/>
      <c r="D10" s="1267"/>
      <c r="E10" s="1285"/>
      <c r="F10" s="1267"/>
      <c r="G10" s="1267"/>
      <c r="H10" s="1267"/>
      <c r="I10" s="1267"/>
      <c r="J10" s="1267"/>
      <c r="K10" s="1267"/>
      <c r="L10" s="1274"/>
    </row>
    <row r="11" spans="1:12" ht="15">
      <c r="A11" s="551">
        <v>1</v>
      </c>
      <c r="B11" s="551">
        <v>2</v>
      </c>
      <c r="C11" s="551">
        <v>3</v>
      </c>
      <c r="D11" s="551">
        <v>4</v>
      </c>
      <c r="E11" s="551">
        <v>5</v>
      </c>
      <c r="F11" s="551">
        <v>6</v>
      </c>
      <c r="G11" s="551">
        <v>7</v>
      </c>
      <c r="H11" s="551">
        <v>8</v>
      </c>
      <c r="I11" s="551">
        <v>9</v>
      </c>
      <c r="J11" s="551">
        <v>10</v>
      </c>
      <c r="K11" s="551">
        <v>11</v>
      </c>
      <c r="L11" s="552">
        <v>12</v>
      </c>
    </row>
    <row r="12" spans="1:12">
      <c r="A12" s="553"/>
      <c r="B12" s="1292" t="s">
        <v>1008</v>
      </c>
      <c r="C12" s="1293"/>
      <c r="D12" s="1293"/>
      <c r="E12" s="1294"/>
      <c r="F12" s="553"/>
      <c r="G12" s="553"/>
      <c r="H12" s="553"/>
      <c r="I12" s="553"/>
      <c r="J12" s="553"/>
      <c r="K12" s="553"/>
      <c r="L12" s="554"/>
    </row>
    <row r="13" spans="1:12">
      <c r="A13" s="553">
        <v>1</v>
      </c>
      <c r="B13" s="555" t="s">
        <v>1052</v>
      </c>
      <c r="C13" s="555" t="s">
        <v>1014</v>
      </c>
      <c r="D13" s="543" t="s">
        <v>1015</v>
      </c>
      <c r="E13" s="556">
        <v>470840.07630000002</v>
      </c>
      <c r="F13" s="557">
        <f>+E13*0.2</f>
        <v>94168.015260000015</v>
      </c>
      <c r="G13" s="557">
        <v>132000</v>
      </c>
      <c r="H13" s="557">
        <v>26400</v>
      </c>
      <c r="I13" s="557"/>
      <c r="J13" s="557">
        <f>E13*0.8</f>
        <v>376672.06104000006</v>
      </c>
      <c r="K13" s="558">
        <f>F13+G13+H13+I13+J13</f>
        <v>629240.07630000007</v>
      </c>
      <c r="L13" s="559">
        <f t="shared" ref="L13:L21" si="0">+E13+K13</f>
        <v>1100080.1526000001</v>
      </c>
    </row>
    <row r="14" spans="1:12">
      <c r="A14" s="553"/>
      <c r="B14" s="1289" t="s">
        <v>1053</v>
      </c>
      <c r="C14" s="1290"/>
      <c r="D14" s="1291"/>
      <c r="E14" s="556">
        <v>0</v>
      </c>
      <c r="F14" s="557"/>
      <c r="G14" s="557"/>
      <c r="H14" s="557"/>
      <c r="I14" s="557"/>
      <c r="J14" s="557">
        <f t="shared" ref="J14:J21" si="1">E14*0.8</f>
        <v>0</v>
      </c>
      <c r="K14" s="558">
        <f t="shared" ref="K14:K21" si="2">F14+G14+H14+I14+J14</f>
        <v>0</v>
      </c>
      <c r="L14" s="559">
        <f t="shared" si="0"/>
        <v>0</v>
      </c>
    </row>
    <row r="15" spans="1:12">
      <c r="A15" s="553">
        <v>2</v>
      </c>
      <c r="B15" s="560" t="s">
        <v>431</v>
      </c>
      <c r="C15" s="561" t="s">
        <v>822</v>
      </c>
      <c r="D15" s="562"/>
      <c r="E15" s="557">
        <v>634912</v>
      </c>
      <c r="F15" s="557"/>
      <c r="G15" s="557">
        <v>132000</v>
      </c>
      <c r="H15" s="557">
        <v>26400</v>
      </c>
      <c r="I15" s="559"/>
      <c r="J15" s="557">
        <f t="shared" si="1"/>
        <v>507929.60000000003</v>
      </c>
      <c r="K15" s="558">
        <f t="shared" si="2"/>
        <v>666329.60000000009</v>
      </c>
      <c r="L15" s="559">
        <f t="shared" si="0"/>
        <v>1301241.6000000001</v>
      </c>
    </row>
    <row r="16" spans="1:12">
      <c r="A16" s="553">
        <v>3</v>
      </c>
      <c r="B16" s="563" t="s">
        <v>778</v>
      </c>
      <c r="C16" s="561" t="s">
        <v>817</v>
      </c>
      <c r="D16" s="562" t="s">
        <v>251</v>
      </c>
      <c r="E16" s="557">
        <v>558559</v>
      </c>
      <c r="F16" s="557"/>
      <c r="G16" s="557">
        <v>132000</v>
      </c>
      <c r="H16" s="557">
        <v>26400</v>
      </c>
      <c r="I16" s="559"/>
      <c r="J16" s="557">
        <f t="shared" si="1"/>
        <v>446847.2</v>
      </c>
      <c r="K16" s="558">
        <f t="shared" si="2"/>
        <v>605247.19999999995</v>
      </c>
      <c r="L16" s="559">
        <f t="shared" si="0"/>
        <v>1163806.2</v>
      </c>
    </row>
    <row r="17" spans="1:12">
      <c r="A17" s="553">
        <v>4</v>
      </c>
      <c r="B17" s="532" t="s">
        <v>1054</v>
      </c>
      <c r="C17" s="561" t="s">
        <v>1055</v>
      </c>
      <c r="D17" s="529" t="s">
        <v>141</v>
      </c>
      <c r="E17" s="557">
        <v>488551.92869999999</v>
      </c>
      <c r="F17" s="557">
        <f>+E17*0.2</f>
        <v>97710.385739999998</v>
      </c>
      <c r="G17" s="557">
        <v>132000</v>
      </c>
      <c r="H17" s="557">
        <v>26400</v>
      </c>
      <c r="I17" s="559"/>
      <c r="J17" s="557">
        <f t="shared" si="1"/>
        <v>390841.54295999999</v>
      </c>
      <c r="K17" s="558">
        <f t="shared" si="2"/>
        <v>646951.92870000005</v>
      </c>
      <c r="L17" s="559">
        <f t="shared" si="0"/>
        <v>1135503.8574000001</v>
      </c>
    </row>
    <row r="18" spans="1:12" ht="28.5">
      <c r="A18" s="553">
        <v>5</v>
      </c>
      <c r="B18" s="564" t="s">
        <v>1056</v>
      </c>
      <c r="C18" s="561" t="s">
        <v>1057</v>
      </c>
      <c r="D18" s="543" t="s">
        <v>1058</v>
      </c>
      <c r="E18" s="557">
        <v>500000</v>
      </c>
      <c r="F18" s="557"/>
      <c r="G18" s="557">
        <v>132000</v>
      </c>
      <c r="H18" s="557">
        <v>26400</v>
      </c>
      <c r="I18" s="557"/>
      <c r="J18" s="557">
        <f t="shared" si="1"/>
        <v>400000</v>
      </c>
      <c r="K18" s="558">
        <f t="shared" si="2"/>
        <v>558400</v>
      </c>
      <c r="L18" s="559">
        <f t="shared" si="0"/>
        <v>1058400</v>
      </c>
    </row>
    <row r="19" spans="1:12">
      <c r="A19" s="553">
        <v>6</v>
      </c>
      <c r="B19" s="565" t="s">
        <v>1059</v>
      </c>
      <c r="C19" s="565" t="s">
        <v>1060</v>
      </c>
      <c r="D19" s="566" t="s">
        <v>141</v>
      </c>
      <c r="E19" s="557">
        <v>488552</v>
      </c>
      <c r="F19" s="557">
        <f>+E19*0.2</f>
        <v>97710.400000000009</v>
      </c>
      <c r="G19" s="557">
        <v>132000</v>
      </c>
      <c r="H19" s="557">
        <v>26400</v>
      </c>
      <c r="I19" s="567">
        <f>+E19*40%</f>
        <v>195420.80000000002</v>
      </c>
      <c r="J19" s="557">
        <f t="shared" si="1"/>
        <v>390841.60000000003</v>
      </c>
      <c r="K19" s="558">
        <f t="shared" si="2"/>
        <v>842372.8</v>
      </c>
      <c r="L19" s="559">
        <f t="shared" si="0"/>
        <v>1330924.8</v>
      </c>
    </row>
    <row r="20" spans="1:12">
      <c r="A20" s="553">
        <v>7</v>
      </c>
      <c r="B20" s="563" t="s">
        <v>272</v>
      </c>
      <c r="C20" s="561" t="s">
        <v>273</v>
      </c>
      <c r="D20" s="543" t="s">
        <v>274</v>
      </c>
      <c r="E20" s="557">
        <v>454604</v>
      </c>
      <c r="F20" s="557">
        <f>+E20*0.2</f>
        <v>90920.8</v>
      </c>
      <c r="G20" s="557">
        <v>132000</v>
      </c>
      <c r="H20" s="557">
        <v>26400</v>
      </c>
      <c r="I20" s="559"/>
      <c r="J20" s="557">
        <f t="shared" si="1"/>
        <v>363683.2</v>
      </c>
      <c r="K20" s="558">
        <f t="shared" si="2"/>
        <v>613004</v>
      </c>
      <c r="L20" s="559">
        <f t="shared" si="0"/>
        <v>1067608</v>
      </c>
    </row>
    <row r="21" spans="1:12">
      <c r="A21" s="553">
        <v>8</v>
      </c>
      <c r="B21" s="563" t="s">
        <v>275</v>
      </c>
      <c r="C21" s="561" t="s">
        <v>273</v>
      </c>
      <c r="D21" s="543" t="s">
        <v>274</v>
      </c>
      <c r="E21" s="557">
        <v>454604</v>
      </c>
      <c r="F21" s="557">
        <f>+E21*0.2</f>
        <v>90920.8</v>
      </c>
      <c r="G21" s="557">
        <v>132000</v>
      </c>
      <c r="H21" s="557">
        <v>26400</v>
      </c>
      <c r="I21" s="559"/>
      <c r="J21" s="557">
        <f t="shared" si="1"/>
        <v>363683.2</v>
      </c>
      <c r="K21" s="558">
        <f t="shared" si="2"/>
        <v>613004</v>
      </c>
      <c r="L21" s="559">
        <f t="shared" si="0"/>
        <v>1067608</v>
      </c>
    </row>
    <row r="22" spans="1:12">
      <c r="A22" s="531"/>
      <c r="B22" s="568" t="s">
        <v>1049</v>
      </c>
      <c r="C22" s="528"/>
      <c r="D22" s="569"/>
      <c r="E22" s="533">
        <f t="shared" ref="E22:L22" si="3">SUM(E13:E21)</f>
        <v>4050623.0049999999</v>
      </c>
      <c r="F22" s="533">
        <f t="shared" si="3"/>
        <v>471430.40100000001</v>
      </c>
      <c r="G22" s="533">
        <f>SUM(G13:G21)</f>
        <v>1056000</v>
      </c>
      <c r="H22" s="533">
        <f t="shared" si="3"/>
        <v>211200</v>
      </c>
      <c r="I22" s="533">
        <f t="shared" si="3"/>
        <v>195420.80000000002</v>
      </c>
      <c r="J22" s="533">
        <f>SUM(J13:J21)</f>
        <v>3240498.4040000006</v>
      </c>
      <c r="K22" s="533">
        <f t="shared" si="3"/>
        <v>5174549.6050000004</v>
      </c>
      <c r="L22" s="533">
        <f t="shared" si="3"/>
        <v>9225172.6099999994</v>
      </c>
    </row>
    <row r="23" spans="1:12">
      <c r="A23" s="570"/>
      <c r="B23" s="570"/>
      <c r="C23" s="571"/>
      <c r="D23" s="572"/>
      <c r="E23" s="572"/>
      <c r="F23" s="572"/>
      <c r="G23" s="572"/>
      <c r="H23" s="572"/>
      <c r="I23" s="572"/>
      <c r="J23" s="572"/>
      <c r="K23" s="570"/>
      <c r="L23" s="570"/>
    </row>
  </sheetData>
  <mergeCells count="17">
    <mergeCell ref="J9:J10"/>
    <mergeCell ref="B12:E12"/>
    <mergeCell ref="I2:L4"/>
    <mergeCell ref="A6:L6"/>
    <mergeCell ref="A8:A10"/>
    <mergeCell ref="B8:B10"/>
    <mergeCell ref="C8:C10"/>
    <mergeCell ref="D8:D10"/>
    <mergeCell ref="E8:E10"/>
    <mergeCell ref="F8:J8"/>
    <mergeCell ref="K8:K10"/>
    <mergeCell ref="L8:L10"/>
    <mergeCell ref="B14:D14"/>
    <mergeCell ref="F9:F10"/>
    <mergeCell ref="G9:G10"/>
    <mergeCell ref="H9:H10"/>
    <mergeCell ref="I9:I1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5"/>
  <sheetViews>
    <sheetView workbookViewId="0">
      <selection activeCell="A15" sqref="A15"/>
    </sheetView>
  </sheetViews>
  <sheetFormatPr defaultRowHeight="14.25"/>
  <cols>
    <col min="1" max="1" width="12.42578125" style="447" customWidth="1"/>
    <col min="2" max="2" width="10" style="447" customWidth="1"/>
    <col min="3" max="3" width="20" customWidth="1"/>
    <col min="4" max="4" width="15.28515625" customWidth="1"/>
    <col min="5" max="5" width="25.85546875" customWidth="1"/>
  </cols>
  <sheetData>
    <row r="2" spans="1:5" ht="28.5">
      <c r="A2" s="503" t="s">
        <v>173</v>
      </c>
      <c r="B2" s="503" t="s">
        <v>975</v>
      </c>
      <c r="C2" s="1231" t="s">
        <v>238</v>
      </c>
      <c r="D2" s="1231"/>
      <c r="E2" s="1231"/>
    </row>
    <row r="3" spans="1:5" ht="38.25" customHeight="1">
      <c r="A3" s="504"/>
      <c r="B3" s="504"/>
      <c r="C3" s="16" t="s">
        <v>164</v>
      </c>
      <c r="D3" s="16" t="s">
        <v>163</v>
      </c>
      <c r="E3" s="16" t="s">
        <v>162</v>
      </c>
    </row>
    <row r="4" spans="1:5">
      <c r="A4" s="498" t="s">
        <v>133</v>
      </c>
      <c r="B4" s="498">
        <v>3</v>
      </c>
      <c r="C4" s="27">
        <v>1</v>
      </c>
      <c r="D4" s="26"/>
      <c r="E4" s="28"/>
    </row>
    <row r="5" spans="1:5">
      <c r="A5" s="498" t="s">
        <v>134</v>
      </c>
      <c r="B5" s="498">
        <v>3</v>
      </c>
      <c r="C5" s="27">
        <v>7</v>
      </c>
      <c r="D5" s="26"/>
      <c r="E5" s="28"/>
    </row>
    <row r="6" spans="1:5">
      <c r="A6" s="498" t="s">
        <v>135</v>
      </c>
      <c r="B6" s="498"/>
      <c r="C6" s="29"/>
      <c r="D6" s="26"/>
      <c r="E6" s="28"/>
    </row>
    <row r="7" spans="1:5">
      <c r="A7" s="498" t="s">
        <v>136</v>
      </c>
      <c r="B7" s="505" t="s">
        <v>980</v>
      </c>
      <c r="C7" s="29"/>
      <c r="D7" s="26">
        <v>10</v>
      </c>
      <c r="E7" s="28"/>
    </row>
    <row r="8" spans="1:5">
      <c r="A8" s="498" t="s">
        <v>137</v>
      </c>
      <c r="B8" s="505" t="s">
        <v>981</v>
      </c>
      <c r="C8" s="29"/>
      <c r="D8" s="26">
        <v>57</v>
      </c>
      <c r="E8" s="28"/>
    </row>
    <row r="9" spans="1:5">
      <c r="A9" s="498" t="s">
        <v>138</v>
      </c>
      <c r="B9" s="505"/>
      <c r="C9" s="29"/>
      <c r="D9" s="26"/>
      <c r="E9" s="28"/>
    </row>
    <row r="10" spans="1:5">
      <c r="A10" s="498" t="s">
        <v>139</v>
      </c>
      <c r="B10" s="505" t="s">
        <v>982</v>
      </c>
      <c r="C10" s="29"/>
      <c r="D10" s="26">
        <v>2</v>
      </c>
      <c r="E10" s="28"/>
    </row>
    <row r="11" spans="1:5">
      <c r="A11" s="498" t="s">
        <v>140</v>
      </c>
      <c r="B11" s="505"/>
      <c r="C11" s="29"/>
      <c r="D11" s="26"/>
      <c r="E11" s="28"/>
    </row>
    <row r="12" spans="1:5">
      <c r="A12" s="498" t="s">
        <v>141</v>
      </c>
      <c r="B12" s="505" t="s">
        <v>980</v>
      </c>
      <c r="C12" s="29"/>
      <c r="D12" s="26"/>
      <c r="E12" s="28">
        <v>3</v>
      </c>
    </row>
    <row r="13" spans="1:5">
      <c r="A13" s="498" t="s">
        <v>142</v>
      </c>
      <c r="B13" s="505" t="s">
        <v>982</v>
      </c>
      <c r="C13" s="29"/>
      <c r="D13" s="26"/>
      <c r="E13" s="28">
        <v>2</v>
      </c>
    </row>
    <row r="14" spans="1:5">
      <c r="A14" s="498" t="s">
        <v>143</v>
      </c>
      <c r="B14" s="505" t="s">
        <v>982</v>
      </c>
      <c r="C14" s="29"/>
      <c r="D14" s="26"/>
      <c r="E14" s="28">
        <v>2</v>
      </c>
    </row>
    <row r="15" spans="1:5">
      <c r="A15" s="512">
        <v>84</v>
      </c>
      <c r="B15" s="506"/>
      <c r="C15" s="30">
        <f>SUM(C4:C14)</f>
        <v>8</v>
      </c>
      <c r="D15" s="30">
        <f>SUM(D4:D14)</f>
        <v>69</v>
      </c>
      <c r="E15" s="30">
        <f>SUM(E4:E14)</f>
        <v>7</v>
      </c>
    </row>
  </sheetData>
  <mergeCells count="1">
    <mergeCell ref="C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2"/>
  <sheetViews>
    <sheetView workbookViewId="0">
      <pane xSplit="1" ySplit="6" topLeftCell="B7" activePane="bottomRight" state="frozen"/>
      <selection pane="topRight" activeCell="B1" sqref="B1"/>
      <selection pane="bottomLeft" activeCell="A7" sqref="A7"/>
      <selection pane="bottomRight" activeCell="A4" sqref="A4"/>
    </sheetView>
  </sheetViews>
  <sheetFormatPr defaultRowHeight="14.25"/>
  <cols>
    <col min="1" max="1" width="61.28515625" bestFit="1" customWidth="1"/>
    <col min="2" max="2" width="11.28515625" bestFit="1" customWidth="1"/>
    <col min="3" max="3" width="12.140625" bestFit="1" customWidth="1"/>
    <col min="4" max="4" width="10.7109375" bestFit="1" customWidth="1"/>
    <col min="5" max="5" width="11.85546875" bestFit="1" customWidth="1"/>
    <col min="6" max="6" width="9.7109375" bestFit="1" customWidth="1"/>
    <col min="7" max="8" width="12.28515625" bestFit="1" customWidth="1"/>
    <col min="9" max="9" width="11.5703125" bestFit="1" customWidth="1"/>
  </cols>
  <sheetData>
    <row r="2" spans="1:9">
      <c r="A2" s="1226" t="s">
        <v>2748</v>
      </c>
      <c r="B2" s="1226"/>
      <c r="C2" s="1226"/>
      <c r="D2" s="1226"/>
      <c r="E2" s="1226"/>
      <c r="F2" s="1226"/>
      <c r="G2" s="1226"/>
      <c r="H2" s="1226"/>
      <c r="I2" s="1226"/>
    </row>
    <row r="4" spans="1:9" ht="78.75">
      <c r="A4" s="1081" t="s">
        <v>1827</v>
      </c>
      <c r="B4" s="1082" t="s">
        <v>2716</v>
      </c>
      <c r="C4" s="1082" t="s">
        <v>1053</v>
      </c>
      <c r="D4" s="1082" t="s">
        <v>998</v>
      </c>
      <c r="E4" s="1082" t="s">
        <v>1019</v>
      </c>
      <c r="F4" s="1082" t="s">
        <v>2717</v>
      </c>
      <c r="G4" s="1082" t="s">
        <v>1008</v>
      </c>
      <c r="H4" s="1082" t="s">
        <v>1023</v>
      </c>
      <c r="I4" s="1082" t="s">
        <v>2718</v>
      </c>
    </row>
    <row r="5" spans="1:9">
      <c r="A5" s="1083" t="s">
        <v>2719</v>
      </c>
      <c r="B5" s="1084">
        <f>B6</f>
        <v>7075238.5875000004</v>
      </c>
      <c r="C5" s="1084">
        <f t="shared" ref="C5:I5" si="0">C6</f>
        <v>666738.98275669653</v>
      </c>
      <c r="D5" s="1084">
        <f t="shared" si="0"/>
        <v>172197.86411830358</v>
      </c>
      <c r="E5" s="1084">
        <f t="shared" si="0"/>
        <v>636716.44732142857</v>
      </c>
      <c r="F5" s="1084">
        <f t="shared" si="0"/>
        <v>172144.36478794643</v>
      </c>
      <c r="G5" s="1084">
        <f t="shared" si="0"/>
        <v>336174.75094866072</v>
      </c>
      <c r="H5" s="1084">
        <f t="shared" si="0"/>
        <v>4777732.3539062506</v>
      </c>
      <c r="I5" s="1084">
        <f t="shared" si="0"/>
        <v>305921.22366071428</v>
      </c>
    </row>
    <row r="6" spans="1:9">
      <c r="A6" s="1083" t="s">
        <v>1936</v>
      </c>
      <c r="B6" s="1084">
        <f>B7+B12+B13+B17+B23+B25+B30+B33+B41+B43</f>
        <v>7075238.5875000004</v>
      </c>
      <c r="C6" s="1084">
        <f t="shared" ref="C6:I6" si="1">C7+C12+C13+C17+C23+C25+C30+C33+C41+C43</f>
        <v>666738.98275669653</v>
      </c>
      <c r="D6" s="1084">
        <f t="shared" si="1"/>
        <v>172197.86411830358</v>
      </c>
      <c r="E6" s="1084">
        <f t="shared" si="1"/>
        <v>636716.44732142857</v>
      </c>
      <c r="F6" s="1084">
        <f t="shared" si="1"/>
        <v>172144.36478794643</v>
      </c>
      <c r="G6" s="1084">
        <f t="shared" si="1"/>
        <v>336174.75094866072</v>
      </c>
      <c r="H6" s="1084">
        <f t="shared" si="1"/>
        <v>4777732.3539062506</v>
      </c>
      <c r="I6" s="1084">
        <f t="shared" si="1"/>
        <v>305921.22366071428</v>
      </c>
    </row>
    <row r="7" spans="1:9">
      <c r="A7" s="1085" t="s">
        <v>1939</v>
      </c>
      <c r="B7" s="1086">
        <f>B8+B9+B10+B11</f>
        <v>1165056.7</v>
      </c>
      <c r="C7" s="1086">
        <f t="shared" ref="C7:I7" si="2">C8+C9+C10+C11</f>
        <v>279443.7</v>
      </c>
      <c r="D7" s="1086">
        <f t="shared" si="2"/>
        <v>125442.8</v>
      </c>
      <c r="E7" s="1086">
        <f t="shared" si="2"/>
        <v>202483.19999999998</v>
      </c>
      <c r="F7" s="1086">
        <f t="shared" si="2"/>
        <v>72973.7</v>
      </c>
      <c r="G7" s="1086">
        <f t="shared" si="2"/>
        <v>178707.8</v>
      </c>
      <c r="H7" s="1086">
        <f t="shared" si="2"/>
        <v>190579.1</v>
      </c>
      <c r="I7" s="1086">
        <f t="shared" si="2"/>
        <v>115426.4</v>
      </c>
    </row>
    <row r="8" spans="1:9">
      <c r="A8" s="1079" t="s">
        <v>2720</v>
      </c>
      <c r="B8" s="1080">
        <f>C8+D8+E8+F8+G8+H8+I8</f>
        <v>715158.6</v>
      </c>
      <c r="C8" s="1080">
        <v>156785.60000000001</v>
      </c>
      <c r="D8" s="1080">
        <v>78434.3</v>
      </c>
      <c r="E8" s="1080">
        <v>134262</v>
      </c>
      <c r="F8" s="1080">
        <v>45652.9</v>
      </c>
      <c r="G8" s="1080">
        <v>109305.7</v>
      </c>
      <c r="H8" s="1080">
        <v>119519.9</v>
      </c>
      <c r="I8" s="1080">
        <v>71198.2</v>
      </c>
    </row>
    <row r="9" spans="1:9">
      <c r="A9" s="1079" t="s">
        <v>2721</v>
      </c>
      <c r="B9" s="1080">
        <f t="shared" ref="B9:B11" si="3">C9+D9+E9+F9+G9+H9+I9</f>
        <v>194876.40000000002</v>
      </c>
      <c r="C9" s="1080">
        <v>65638.100000000006</v>
      </c>
      <c r="D9" s="1080">
        <v>19443.400000000001</v>
      </c>
      <c r="E9" s="1080">
        <v>19906.8</v>
      </c>
      <c r="F9" s="1080">
        <v>11729.8</v>
      </c>
      <c r="G9" s="1080">
        <v>30117.599999999999</v>
      </c>
      <c r="H9" s="1080">
        <v>28512</v>
      </c>
      <c r="I9" s="1080">
        <v>19528.7</v>
      </c>
    </row>
    <row r="10" spans="1:9">
      <c r="A10" s="1079" t="s">
        <v>2722</v>
      </c>
      <c r="B10" s="1080">
        <f t="shared" si="3"/>
        <v>159667.20000000001</v>
      </c>
      <c r="C10" s="1080">
        <v>36115.199999999997</v>
      </c>
      <c r="D10" s="1080">
        <v>17107.2</v>
      </c>
      <c r="E10" s="1080">
        <v>30412.799999999999</v>
      </c>
      <c r="F10" s="1080">
        <v>9504</v>
      </c>
      <c r="G10" s="1080">
        <v>24710.400000000001</v>
      </c>
      <c r="H10" s="1080">
        <v>26611.200000000001</v>
      </c>
      <c r="I10" s="1080">
        <v>15206.4</v>
      </c>
    </row>
    <row r="11" spans="1:9">
      <c r="A11" s="1079" t="s">
        <v>2723</v>
      </c>
      <c r="B11" s="1080">
        <f t="shared" si="3"/>
        <v>95354.5</v>
      </c>
      <c r="C11" s="1080">
        <v>20904.8</v>
      </c>
      <c r="D11" s="1080">
        <v>10457.9</v>
      </c>
      <c r="E11" s="1080">
        <v>17901.599999999999</v>
      </c>
      <c r="F11" s="1080">
        <v>6087</v>
      </c>
      <c r="G11" s="1080">
        <v>14574.1</v>
      </c>
      <c r="H11" s="1080">
        <v>15936</v>
      </c>
      <c r="I11" s="1080">
        <v>9493.1</v>
      </c>
    </row>
    <row r="12" spans="1:9">
      <c r="A12" s="1085" t="s">
        <v>1953</v>
      </c>
      <c r="B12" s="1086">
        <f>B7*12.5%</f>
        <v>145632.08749999999</v>
      </c>
      <c r="C12" s="1086">
        <f t="shared" ref="C12:I12" si="4">C7*12.5%</f>
        <v>34930.462500000001</v>
      </c>
      <c r="D12" s="1086">
        <f t="shared" si="4"/>
        <v>15680.35</v>
      </c>
      <c r="E12" s="1086">
        <f t="shared" si="4"/>
        <v>25310.399999999998</v>
      </c>
      <c r="F12" s="1086">
        <f t="shared" si="4"/>
        <v>9121.7124999999996</v>
      </c>
      <c r="G12" s="1086">
        <f t="shared" si="4"/>
        <v>22338.474999999999</v>
      </c>
      <c r="H12" s="1086">
        <f t="shared" si="4"/>
        <v>23822.387500000001</v>
      </c>
      <c r="I12" s="1086">
        <f t="shared" si="4"/>
        <v>14428.3</v>
      </c>
    </row>
    <row r="13" spans="1:9">
      <c r="A13" s="1085" t="s">
        <v>1976</v>
      </c>
      <c r="B13" s="1086">
        <f>B14+B15+B16</f>
        <v>84576.3</v>
      </c>
      <c r="C13" s="1086">
        <f t="shared" ref="C13:I13" si="5">C14+C15+C16</f>
        <v>63101.848828125003</v>
      </c>
      <c r="D13" s="1086">
        <f t="shared" si="5"/>
        <v>2973.3855468750003</v>
      </c>
      <c r="E13" s="1086">
        <f t="shared" si="5"/>
        <v>5286.0187500000002</v>
      </c>
      <c r="F13" s="1086">
        <f t="shared" si="5"/>
        <v>1651.880859375</v>
      </c>
      <c r="G13" s="1086">
        <f t="shared" si="5"/>
        <v>4294.8902343749996</v>
      </c>
      <c r="H13" s="1086">
        <f t="shared" si="5"/>
        <v>4625.2664062500007</v>
      </c>
      <c r="I13" s="1086">
        <f t="shared" si="5"/>
        <v>2643.0093750000001</v>
      </c>
    </row>
    <row r="14" spans="1:9">
      <c r="A14" s="1079" t="s">
        <v>2724</v>
      </c>
      <c r="B14" s="1080">
        <v>37071.4</v>
      </c>
      <c r="C14" s="1080">
        <f t="shared" ref="C14:I14" si="6">B14/B52*C52</f>
        <v>27658.739843750001</v>
      </c>
      <c r="D14" s="1080">
        <f t="shared" si="6"/>
        <v>1303.2914062500001</v>
      </c>
      <c r="E14" s="1080">
        <f t="shared" si="6"/>
        <v>2316.9625000000001</v>
      </c>
      <c r="F14" s="1080">
        <f t="shared" si="6"/>
        <v>724.05078125</v>
      </c>
      <c r="G14" s="1080">
        <f t="shared" si="6"/>
        <v>1882.53203125</v>
      </c>
      <c r="H14" s="1080">
        <f t="shared" si="6"/>
        <v>2027.3421875000001</v>
      </c>
      <c r="I14" s="1080">
        <f t="shared" si="6"/>
        <v>1158.48125</v>
      </c>
    </row>
    <row r="15" spans="1:9">
      <c r="A15" s="1079" t="s">
        <v>2725</v>
      </c>
      <c r="B15" s="1080">
        <v>26925.9</v>
      </c>
      <c r="C15" s="1080">
        <f t="shared" ref="C15:I15" si="7">B15/B52*C52</f>
        <v>20089.245703125001</v>
      </c>
      <c r="D15" s="1080">
        <f t="shared" si="7"/>
        <v>946.61367187500002</v>
      </c>
      <c r="E15" s="1080">
        <f t="shared" si="7"/>
        <v>1682.8687500000001</v>
      </c>
      <c r="F15" s="1080">
        <f t="shared" si="7"/>
        <v>525.896484375</v>
      </c>
      <c r="G15" s="1080">
        <f t="shared" si="7"/>
        <v>1367.330859375</v>
      </c>
      <c r="H15" s="1080">
        <f t="shared" si="7"/>
        <v>1472.5101562500001</v>
      </c>
      <c r="I15" s="1080">
        <f t="shared" si="7"/>
        <v>841.43437500000005</v>
      </c>
    </row>
    <row r="16" spans="1:9">
      <c r="A16" s="1079" t="s">
        <v>2726</v>
      </c>
      <c r="B16" s="1080">
        <v>20579</v>
      </c>
      <c r="C16" s="1080">
        <f t="shared" ref="C16:I16" si="8">B16/B52*C52</f>
        <v>15353.86328125</v>
      </c>
      <c r="D16" s="1080">
        <f t="shared" si="8"/>
        <v>723.48046875</v>
      </c>
      <c r="E16" s="1080">
        <f t="shared" si="8"/>
        <v>1286.1875</v>
      </c>
      <c r="F16" s="1080">
        <f t="shared" si="8"/>
        <v>401.93359375</v>
      </c>
      <c r="G16" s="1080">
        <f t="shared" si="8"/>
        <v>1045.02734375</v>
      </c>
      <c r="H16" s="1080">
        <f t="shared" si="8"/>
        <v>1125.4140625</v>
      </c>
      <c r="I16" s="1080">
        <f t="shared" si="8"/>
        <v>643.09375</v>
      </c>
    </row>
    <row r="17" spans="1:9">
      <c r="A17" s="1085" t="s">
        <v>1991</v>
      </c>
      <c r="B17" s="1086">
        <f>B18+B19+B20+B21+B22</f>
        <v>87484.599999999991</v>
      </c>
      <c r="C17" s="1086">
        <f t="shared" ref="C17:I17" si="9">C18+C19+C20+C21+C22</f>
        <v>30329.17142857143</v>
      </c>
      <c r="D17" s="1086">
        <f t="shared" si="9"/>
        <v>7913.8285714285712</v>
      </c>
      <c r="E17" s="1086">
        <f t="shared" si="9"/>
        <v>14069.028571428571</v>
      </c>
      <c r="F17" s="1086">
        <f t="shared" si="9"/>
        <v>4396.5714285714294</v>
      </c>
      <c r="G17" s="1086">
        <f t="shared" si="9"/>
        <v>11431.085714285713</v>
      </c>
      <c r="H17" s="1086">
        <f t="shared" si="9"/>
        <v>12310.4</v>
      </c>
      <c r="I17" s="1086">
        <f t="shared" si="9"/>
        <v>7034.5142857142855</v>
      </c>
    </row>
    <row r="18" spans="1:9">
      <c r="A18" s="1079" t="s">
        <v>2727</v>
      </c>
      <c r="B18" s="1080">
        <v>22393.200000000001</v>
      </c>
      <c r="C18" s="1080">
        <f t="shared" ref="C18:I18" si="10">B18/B51*C51</f>
        <v>5065.1285714285714</v>
      </c>
      <c r="D18" s="1080">
        <f t="shared" si="10"/>
        <v>2399.2714285714287</v>
      </c>
      <c r="E18" s="1080">
        <f t="shared" si="10"/>
        <v>4265.3714285714286</v>
      </c>
      <c r="F18" s="1080">
        <f t="shared" si="10"/>
        <v>1332.9285714285716</v>
      </c>
      <c r="G18" s="1080">
        <f t="shared" si="10"/>
        <v>3465.6142857142859</v>
      </c>
      <c r="H18" s="1080">
        <f t="shared" si="10"/>
        <v>3732.2</v>
      </c>
      <c r="I18" s="1080">
        <f t="shared" si="10"/>
        <v>2132.6857142857143</v>
      </c>
    </row>
    <row r="19" spans="1:9">
      <c r="A19" s="1079" t="s">
        <v>2728</v>
      </c>
      <c r="B19" s="1080">
        <v>15840</v>
      </c>
      <c r="C19" s="1080">
        <f t="shared" ref="C19:I19" si="11">B19/B51*C51</f>
        <v>3582.8571428571431</v>
      </c>
      <c r="D19" s="1080">
        <f t="shared" si="11"/>
        <v>1697.1428571428573</v>
      </c>
      <c r="E19" s="1080">
        <f t="shared" si="11"/>
        <v>3017.1428571428573</v>
      </c>
      <c r="F19" s="1080">
        <f t="shared" si="11"/>
        <v>942.85714285714289</v>
      </c>
      <c r="G19" s="1080">
        <f t="shared" si="11"/>
        <v>2451.4285714285716</v>
      </c>
      <c r="H19" s="1080">
        <f t="shared" si="11"/>
        <v>2640</v>
      </c>
      <c r="I19" s="1080">
        <f t="shared" si="11"/>
        <v>1508.5714285714287</v>
      </c>
    </row>
    <row r="20" spans="1:9">
      <c r="A20" s="1079" t="s">
        <v>2729</v>
      </c>
      <c r="B20" s="1080">
        <v>24069.200000000001</v>
      </c>
      <c r="C20" s="1080">
        <f t="shared" ref="C20:I20" si="12">B20/B51*C51</f>
        <v>5444.2238095238099</v>
      </c>
      <c r="D20" s="1080">
        <f t="shared" si="12"/>
        <v>2578.8428571428572</v>
      </c>
      <c r="E20" s="1080">
        <f t="shared" si="12"/>
        <v>4584.609523809524</v>
      </c>
      <c r="F20" s="1080">
        <f t="shared" si="12"/>
        <v>1432.6904761904761</v>
      </c>
      <c r="G20" s="1080">
        <f t="shared" si="12"/>
        <v>3724.9952380952382</v>
      </c>
      <c r="H20" s="1080">
        <f t="shared" si="12"/>
        <v>4011.5333333333338</v>
      </c>
      <c r="I20" s="1080">
        <f t="shared" si="12"/>
        <v>2292.304761904762</v>
      </c>
    </row>
    <row r="21" spans="1:9">
      <c r="A21" s="1079" t="s">
        <v>2730</v>
      </c>
      <c r="B21" s="1080">
        <v>11560</v>
      </c>
      <c r="C21" s="1080">
        <f t="shared" ref="C21:I21" si="13">B21/B51*C51</f>
        <v>2614.7619047619046</v>
      </c>
      <c r="D21" s="1080">
        <f t="shared" si="13"/>
        <v>1238.5714285714287</v>
      </c>
      <c r="E21" s="1080">
        <f t="shared" si="13"/>
        <v>2201.9047619047619</v>
      </c>
      <c r="F21" s="1080">
        <f t="shared" si="13"/>
        <v>688.09523809523807</v>
      </c>
      <c r="G21" s="1080">
        <f t="shared" si="13"/>
        <v>1789.047619047619</v>
      </c>
      <c r="H21" s="1080">
        <f t="shared" si="13"/>
        <v>1926.6666666666667</v>
      </c>
      <c r="I21" s="1080">
        <f t="shared" si="13"/>
        <v>1100.952380952381</v>
      </c>
    </row>
    <row r="22" spans="1:9">
      <c r="A22" s="1079" t="s">
        <v>2731</v>
      </c>
      <c r="B22" s="1080">
        <v>13622.2</v>
      </c>
      <c r="C22" s="1080">
        <v>13622.2</v>
      </c>
      <c r="D22" s="1080">
        <v>0</v>
      </c>
      <c r="E22" s="1080">
        <v>0</v>
      </c>
      <c r="F22" s="1080">
        <f>E22/E51*F51</f>
        <v>0</v>
      </c>
      <c r="G22" s="1080">
        <f>F22/F51*G51</f>
        <v>0</v>
      </c>
      <c r="H22" s="1080">
        <f>G22/G51*H51</f>
        <v>0</v>
      </c>
      <c r="I22" s="1080">
        <f>H22/H51*I51</f>
        <v>0</v>
      </c>
    </row>
    <row r="23" spans="1:9">
      <c r="A23" s="1085" t="s">
        <v>2013</v>
      </c>
      <c r="B23" s="1086">
        <f>B24</f>
        <v>2260</v>
      </c>
      <c r="C23" s="1086">
        <f t="shared" ref="C23:I23" si="14">C24</f>
        <v>2260</v>
      </c>
      <c r="D23" s="1086">
        <f t="shared" si="14"/>
        <v>0</v>
      </c>
      <c r="E23" s="1086">
        <f t="shared" si="14"/>
        <v>0</v>
      </c>
      <c r="F23" s="1086">
        <f t="shared" si="14"/>
        <v>0</v>
      </c>
      <c r="G23" s="1086">
        <f t="shared" si="14"/>
        <v>0</v>
      </c>
      <c r="H23" s="1086">
        <f t="shared" si="14"/>
        <v>0</v>
      </c>
      <c r="I23" s="1086">
        <f t="shared" si="14"/>
        <v>0</v>
      </c>
    </row>
    <row r="24" spans="1:9">
      <c r="A24" s="1079" t="s">
        <v>2732</v>
      </c>
      <c r="B24" s="1080">
        <v>2260</v>
      </c>
      <c r="C24" s="1080">
        <v>2260</v>
      </c>
      <c r="D24" s="1080">
        <v>0</v>
      </c>
      <c r="E24" s="1080">
        <v>0</v>
      </c>
      <c r="F24" s="1080">
        <v>0</v>
      </c>
      <c r="G24" s="1080">
        <v>0</v>
      </c>
      <c r="H24" s="1080">
        <v>0</v>
      </c>
      <c r="I24" s="1080">
        <v>0</v>
      </c>
    </row>
    <row r="25" spans="1:9">
      <c r="A25" s="1085" t="s">
        <v>2020</v>
      </c>
      <c r="B25" s="1086">
        <f>B26+B27+B28+B29</f>
        <v>155643</v>
      </c>
      <c r="C25" s="1086">
        <f>C26+C27+C28+C29</f>
        <v>155643</v>
      </c>
      <c r="D25" s="1086">
        <f t="shared" ref="D25:I25" si="15">D26+D27+D28+D29</f>
        <v>0</v>
      </c>
      <c r="E25" s="1086">
        <f t="shared" si="15"/>
        <v>0</v>
      </c>
      <c r="F25" s="1086">
        <f t="shared" si="15"/>
        <v>0</v>
      </c>
      <c r="G25" s="1086">
        <f t="shared" si="15"/>
        <v>0</v>
      </c>
      <c r="H25" s="1086">
        <f t="shared" si="15"/>
        <v>0</v>
      </c>
      <c r="I25" s="1086">
        <f t="shared" si="15"/>
        <v>0</v>
      </c>
    </row>
    <row r="26" spans="1:9">
      <c r="A26" s="1079" t="s">
        <v>2733</v>
      </c>
      <c r="B26" s="1080">
        <f>C26</f>
        <v>43450</v>
      </c>
      <c r="C26" s="1080">
        <v>43450</v>
      </c>
      <c r="D26" s="1080">
        <v>0</v>
      </c>
      <c r="E26" s="1080">
        <v>0</v>
      </c>
      <c r="F26" s="1080">
        <v>0</v>
      </c>
      <c r="G26" s="1080">
        <v>0</v>
      </c>
      <c r="H26" s="1080">
        <v>0</v>
      </c>
      <c r="I26" s="1080">
        <v>0</v>
      </c>
    </row>
    <row r="27" spans="1:9">
      <c r="A27" s="1079" t="s">
        <v>2749</v>
      </c>
      <c r="B27" s="1080">
        <f>C27</f>
        <v>64172</v>
      </c>
      <c r="C27" s="1080">
        <v>64172</v>
      </c>
      <c r="D27" s="1080">
        <v>0</v>
      </c>
      <c r="E27" s="1080">
        <v>0</v>
      </c>
      <c r="F27" s="1080">
        <v>0</v>
      </c>
      <c r="G27" s="1080">
        <v>0</v>
      </c>
      <c r="H27" s="1080">
        <v>0</v>
      </c>
      <c r="I27" s="1080">
        <v>0</v>
      </c>
    </row>
    <row r="28" spans="1:9">
      <c r="A28" s="1079" t="s">
        <v>2750</v>
      </c>
      <c r="B28" s="1080">
        <f>C28</f>
        <v>6400</v>
      </c>
      <c r="C28" s="1080">
        <v>6400</v>
      </c>
      <c r="D28" s="1080">
        <v>0</v>
      </c>
      <c r="E28" s="1080">
        <v>0</v>
      </c>
      <c r="F28" s="1080">
        <v>0</v>
      </c>
      <c r="G28" s="1080">
        <v>0</v>
      </c>
      <c r="H28" s="1080">
        <v>0</v>
      </c>
      <c r="I28" s="1080">
        <v>0</v>
      </c>
    </row>
    <row r="29" spans="1:9">
      <c r="A29" s="1079" t="s">
        <v>2734</v>
      </c>
      <c r="B29" s="1080">
        <f>C29</f>
        <v>41621</v>
      </c>
      <c r="C29" s="1080">
        <v>41621</v>
      </c>
      <c r="D29" s="1080">
        <v>0</v>
      </c>
      <c r="E29" s="1080">
        <v>0</v>
      </c>
      <c r="F29" s="1080">
        <v>0</v>
      </c>
      <c r="G29" s="1080">
        <v>0</v>
      </c>
      <c r="H29" s="1080">
        <v>0</v>
      </c>
      <c r="I29" s="1080">
        <v>0</v>
      </c>
    </row>
    <row r="30" spans="1:9">
      <c r="A30" s="1085" t="s">
        <v>2030</v>
      </c>
      <c r="B30" s="1086">
        <f>B31+B32</f>
        <v>273021.2</v>
      </c>
      <c r="C30" s="1086">
        <f t="shared" ref="C30:I30" si="16">C31+C32</f>
        <v>4150.8</v>
      </c>
      <c r="D30" s="1086">
        <f t="shared" si="16"/>
        <v>7800</v>
      </c>
      <c r="E30" s="1086">
        <f t="shared" si="16"/>
        <v>123526.39999999999</v>
      </c>
      <c r="F30" s="1086">
        <f t="shared" si="16"/>
        <v>15000</v>
      </c>
      <c r="G30" s="1086">
        <f t="shared" si="16"/>
        <v>5000</v>
      </c>
      <c r="H30" s="1086">
        <f t="shared" si="16"/>
        <v>35000</v>
      </c>
      <c r="I30" s="1086">
        <f t="shared" si="16"/>
        <v>82544</v>
      </c>
    </row>
    <row r="31" spans="1:9">
      <c r="A31" s="1079" t="s">
        <v>2735</v>
      </c>
      <c r="B31" s="1080">
        <f>C31+D31+E31+F31+G31+H31+I31</f>
        <v>245389.2</v>
      </c>
      <c r="C31" s="1080">
        <v>4150.8</v>
      </c>
      <c r="D31" s="1080">
        <v>7800</v>
      </c>
      <c r="E31" s="1080">
        <f>65894.4+20000+10000</f>
        <v>95894.399999999994</v>
      </c>
      <c r="F31" s="1080">
        <v>15000</v>
      </c>
      <c r="G31" s="1080">
        <v>5000</v>
      </c>
      <c r="H31" s="1080">
        <v>35000</v>
      </c>
      <c r="I31" s="1080">
        <f>44680.5+24722.8+6783+6357.7</f>
        <v>82544</v>
      </c>
    </row>
    <row r="32" spans="1:9">
      <c r="A32" s="1079" t="s">
        <v>2959</v>
      </c>
      <c r="B32" s="1080">
        <f>E32</f>
        <v>27632</v>
      </c>
      <c r="C32" s="1080"/>
      <c r="D32" s="1080"/>
      <c r="E32" s="1080">
        <v>27632</v>
      </c>
      <c r="F32" s="1080"/>
      <c r="G32" s="1080"/>
      <c r="H32" s="1080"/>
      <c r="I32" s="1080"/>
    </row>
    <row r="33" spans="1:9">
      <c r="A33" s="1085" t="s">
        <v>2037</v>
      </c>
      <c r="B33" s="1086">
        <f>B34+B35+B36+B37+B38+B39+B40</f>
        <v>631169.5</v>
      </c>
      <c r="C33" s="1086">
        <f t="shared" ref="C33:I33" si="17">C34+C35+C36+C37+C38+C39+C40</f>
        <v>84380</v>
      </c>
      <c r="D33" s="1086">
        <f t="shared" si="17"/>
        <v>12387.5</v>
      </c>
      <c r="E33" s="1086">
        <f t="shared" si="17"/>
        <v>266041.40000000002</v>
      </c>
      <c r="F33" s="1086">
        <f t="shared" si="17"/>
        <v>49000.5</v>
      </c>
      <c r="G33" s="1086">
        <f t="shared" si="17"/>
        <v>114402.5</v>
      </c>
      <c r="H33" s="1086">
        <f t="shared" si="17"/>
        <v>13500</v>
      </c>
      <c r="I33" s="1086">
        <f t="shared" si="17"/>
        <v>83845</v>
      </c>
    </row>
    <row r="34" spans="1:9">
      <c r="A34" s="1079" t="s">
        <v>2736</v>
      </c>
      <c r="B34" s="1080">
        <v>466843.5</v>
      </c>
      <c r="C34" s="1080">
        <f>59400+10500+7980</f>
        <v>77880</v>
      </c>
      <c r="D34" s="1080">
        <v>9337.5</v>
      </c>
      <c r="E34" s="1080">
        <f>48960+7500+145500+14000+2450+2450+3150+74952.9+27594+5000+1500-9337.5-10500-7980-52498</f>
        <v>252741.40000000002</v>
      </c>
      <c r="F34" s="1080"/>
      <c r="G34" s="1080">
        <v>52498</v>
      </c>
      <c r="H34" s="1080"/>
      <c r="I34" s="1080">
        <f>600+5280+10000+42885+12660</f>
        <v>71425</v>
      </c>
    </row>
    <row r="35" spans="1:9">
      <c r="A35" s="1079" t="s">
        <v>2737</v>
      </c>
      <c r="B35" s="1080">
        <v>2852.2</v>
      </c>
      <c r="C35" s="1080"/>
      <c r="D35" s="1080"/>
      <c r="E35" s="1080"/>
      <c r="F35" s="1080"/>
      <c r="G35" s="1080"/>
      <c r="H35" s="1080"/>
      <c r="I35" s="1080"/>
    </row>
    <row r="36" spans="1:9">
      <c r="A36" s="1079" t="s">
        <v>2738</v>
      </c>
      <c r="B36" s="1080">
        <v>871.2</v>
      </c>
      <c r="C36" s="1080"/>
      <c r="D36" s="1080"/>
      <c r="E36" s="1080"/>
      <c r="F36" s="1080"/>
      <c r="G36" s="1080"/>
      <c r="H36" s="1080"/>
      <c r="I36" s="1080"/>
    </row>
    <row r="37" spans="1:9">
      <c r="A37" s="1079" t="s">
        <v>2739</v>
      </c>
      <c r="B37" s="1080">
        <v>185.1</v>
      </c>
      <c r="C37" s="1080"/>
      <c r="D37" s="1080"/>
      <c r="E37" s="1080"/>
      <c r="F37" s="1080"/>
      <c r="G37" s="1080"/>
      <c r="H37" s="1080"/>
      <c r="I37" s="1080"/>
    </row>
    <row r="38" spans="1:9">
      <c r="A38" s="1079" t="s">
        <v>2740</v>
      </c>
      <c r="B38" s="1080">
        <f>C38+D38++E38+F38+G38+H38+I38</f>
        <v>105500</v>
      </c>
      <c r="C38" s="1080">
        <v>2500</v>
      </c>
      <c r="D38" s="1080"/>
      <c r="E38" s="1080">
        <f>10000</f>
        <v>10000</v>
      </c>
      <c r="F38" s="1080">
        <v>35000</v>
      </c>
      <c r="G38" s="1080">
        <v>58000</v>
      </c>
      <c r="H38" s="1080"/>
      <c r="I38" s="1080"/>
    </row>
    <row r="39" spans="1:9">
      <c r="A39" s="1079" t="s">
        <v>2741</v>
      </c>
      <c r="B39" s="1080">
        <v>742.5</v>
      </c>
      <c r="C39" s="1080"/>
      <c r="D39" s="1080"/>
      <c r="E39" s="1080"/>
      <c r="F39" s="1080"/>
      <c r="G39" s="1080"/>
      <c r="H39" s="1080"/>
      <c r="I39" s="1080"/>
    </row>
    <row r="40" spans="1:9">
      <c r="A40" s="1079" t="s">
        <v>2742</v>
      </c>
      <c r="B40" s="1080">
        <v>54175</v>
      </c>
      <c r="C40" s="1080">
        <f>3000+1000</f>
        <v>4000</v>
      </c>
      <c r="D40" s="1080">
        <v>3050</v>
      </c>
      <c r="E40" s="1080">
        <f>3300</f>
        <v>3300</v>
      </c>
      <c r="F40" s="1080">
        <f>27500.5-13500</f>
        <v>14000.5</v>
      </c>
      <c r="G40" s="1080">
        <v>3904.5</v>
      </c>
      <c r="H40" s="1080">
        <v>13500</v>
      </c>
      <c r="I40" s="1080">
        <f>4950+5130+2340</f>
        <v>12420</v>
      </c>
    </row>
    <row r="41" spans="1:9">
      <c r="A41" s="1085" t="s">
        <v>2066</v>
      </c>
      <c r="B41" s="1086">
        <f>B42</f>
        <v>4497895.2</v>
      </c>
      <c r="C41" s="1086">
        <f t="shared" ref="C41:I41" si="18">C42</f>
        <v>0</v>
      </c>
      <c r="D41" s="1086">
        <f t="shared" si="18"/>
        <v>0</v>
      </c>
      <c r="E41" s="1086">
        <f t="shared" si="18"/>
        <v>0</v>
      </c>
      <c r="F41" s="1086">
        <f t="shared" si="18"/>
        <v>0</v>
      </c>
      <c r="G41" s="1086">
        <f t="shared" si="18"/>
        <v>0</v>
      </c>
      <c r="H41" s="1086">
        <f t="shared" si="18"/>
        <v>4497895.2</v>
      </c>
      <c r="I41" s="1086">
        <f t="shared" si="18"/>
        <v>0</v>
      </c>
    </row>
    <row r="42" spans="1:9">
      <c r="A42" s="1079" t="s">
        <v>2743</v>
      </c>
      <c r="B42" s="1080">
        <f>H42</f>
        <v>4497895.2</v>
      </c>
      <c r="C42" s="1080"/>
      <c r="D42" s="1080"/>
      <c r="E42" s="1080"/>
      <c r="F42" s="1080"/>
      <c r="G42" s="1080"/>
      <c r="H42" s="1080">
        <v>4497895.2</v>
      </c>
      <c r="I42" s="1080"/>
    </row>
    <row r="43" spans="1:9">
      <c r="A43" s="1085" t="s">
        <v>2079</v>
      </c>
      <c r="B43" s="1086">
        <f>B44</f>
        <v>32500</v>
      </c>
      <c r="C43" s="1086">
        <f t="shared" ref="C43:I43" si="19">C44</f>
        <v>12500</v>
      </c>
      <c r="D43" s="1086">
        <f t="shared" si="19"/>
        <v>0</v>
      </c>
      <c r="E43" s="1086">
        <f t="shared" si="19"/>
        <v>0</v>
      </c>
      <c r="F43" s="1086">
        <f t="shared" si="19"/>
        <v>20000</v>
      </c>
      <c r="G43" s="1086">
        <f t="shared" si="19"/>
        <v>0</v>
      </c>
      <c r="H43" s="1086">
        <f t="shared" si="19"/>
        <v>0</v>
      </c>
      <c r="I43" s="1086">
        <f t="shared" si="19"/>
        <v>0</v>
      </c>
    </row>
    <row r="44" spans="1:9">
      <c r="A44" s="1079" t="s">
        <v>2744</v>
      </c>
      <c r="B44" s="1080">
        <f>C44+F44</f>
        <v>32500</v>
      </c>
      <c r="C44" s="1080">
        <f>7500+5000</f>
        <v>12500</v>
      </c>
      <c r="D44" s="1080"/>
      <c r="E44" s="1080"/>
      <c r="F44" s="1080">
        <v>20000</v>
      </c>
      <c r="G44" s="1080"/>
      <c r="H44" s="1080"/>
      <c r="I44" s="1080"/>
    </row>
    <row r="45" spans="1:9">
      <c r="A45" s="1085" t="s">
        <v>2090</v>
      </c>
      <c r="B45" s="1086">
        <f>B6</f>
        <v>7075238.5875000004</v>
      </c>
      <c r="C45" s="1086">
        <f t="shared" ref="C45:I45" si="20">C6</f>
        <v>666738.98275669653</v>
      </c>
      <c r="D45" s="1086">
        <f t="shared" si="20"/>
        <v>172197.86411830358</v>
      </c>
      <c r="E45" s="1086">
        <f t="shared" si="20"/>
        <v>636716.44732142857</v>
      </c>
      <c r="F45" s="1086">
        <f t="shared" si="20"/>
        <v>172144.36478794643</v>
      </c>
      <c r="G45" s="1086">
        <f t="shared" si="20"/>
        <v>336174.75094866072</v>
      </c>
      <c r="H45" s="1086">
        <f t="shared" si="20"/>
        <v>4777732.3539062506</v>
      </c>
      <c r="I45" s="1086">
        <f t="shared" si="20"/>
        <v>305921.22366071428</v>
      </c>
    </row>
    <row r="46" spans="1:9">
      <c r="A46" s="1085" t="s">
        <v>2093</v>
      </c>
      <c r="B46" s="1086">
        <f>B45-B48</f>
        <v>6527238.5875000004</v>
      </c>
      <c r="C46" s="1086">
        <f t="shared" ref="C46:I46" si="21">C45-C48</f>
        <v>566738.98275669653</v>
      </c>
      <c r="D46" s="1086">
        <f t="shared" si="21"/>
        <v>172197.86411830358</v>
      </c>
      <c r="E46" s="1086">
        <f t="shared" si="21"/>
        <v>448716.44732142857</v>
      </c>
      <c r="F46" s="1086">
        <f t="shared" si="21"/>
        <v>172144.36478794643</v>
      </c>
      <c r="G46" s="1086">
        <f t="shared" si="21"/>
        <v>336174.75094866072</v>
      </c>
      <c r="H46" s="1086">
        <f t="shared" si="21"/>
        <v>4647732.3539062506</v>
      </c>
      <c r="I46" s="1086">
        <f t="shared" si="21"/>
        <v>175921.22366071428</v>
      </c>
    </row>
    <row r="47" spans="1:9">
      <c r="A47" s="1079" t="s">
        <v>2745</v>
      </c>
      <c r="B47" s="1080">
        <f>B46</f>
        <v>6527238.5875000004</v>
      </c>
      <c r="C47" s="1080">
        <f t="shared" ref="C47:I47" si="22">C46</f>
        <v>566738.98275669653</v>
      </c>
      <c r="D47" s="1080">
        <f t="shared" si="22"/>
        <v>172197.86411830358</v>
      </c>
      <c r="E47" s="1080">
        <f t="shared" si="22"/>
        <v>448716.44732142857</v>
      </c>
      <c r="F47" s="1080">
        <f t="shared" si="22"/>
        <v>172144.36478794643</v>
      </c>
      <c r="G47" s="1080">
        <f t="shared" si="22"/>
        <v>336174.75094866072</v>
      </c>
      <c r="H47" s="1080">
        <f t="shared" si="22"/>
        <v>4647732.3539062506</v>
      </c>
      <c r="I47" s="1080">
        <f t="shared" si="22"/>
        <v>175921.22366071428</v>
      </c>
    </row>
    <row r="48" spans="1:9">
      <c r="A48" s="1085" t="s">
        <v>2099</v>
      </c>
      <c r="B48" s="1086">
        <f>B49+B50</f>
        <v>548000</v>
      </c>
      <c r="C48" s="1086">
        <f t="shared" ref="C48:I48" si="23">C49+C50</f>
        <v>100000</v>
      </c>
      <c r="D48" s="1086">
        <f t="shared" si="23"/>
        <v>0</v>
      </c>
      <c r="E48" s="1086">
        <f t="shared" si="23"/>
        <v>188000</v>
      </c>
      <c r="F48" s="1086">
        <f t="shared" si="23"/>
        <v>0</v>
      </c>
      <c r="G48" s="1086">
        <f t="shared" si="23"/>
        <v>0</v>
      </c>
      <c r="H48" s="1086">
        <f t="shared" si="23"/>
        <v>130000</v>
      </c>
      <c r="I48" s="1086">
        <f t="shared" si="23"/>
        <v>130000</v>
      </c>
    </row>
    <row r="49" spans="1:9">
      <c r="A49" s="1079" t="s">
        <v>2746</v>
      </c>
      <c r="B49" s="1080">
        <f>E49+H49+I49</f>
        <v>448000</v>
      </c>
      <c r="C49" s="1080">
        <v>0</v>
      </c>
      <c r="D49" s="1080">
        <v>0</v>
      </c>
      <c r="E49" s="1080">
        <f>128000+60000</f>
        <v>188000</v>
      </c>
      <c r="F49" s="1080">
        <v>0</v>
      </c>
      <c r="G49" s="1080">
        <v>0</v>
      </c>
      <c r="H49" s="1080">
        <v>130000</v>
      </c>
      <c r="I49" s="1080">
        <v>130000</v>
      </c>
    </row>
    <row r="50" spans="1:9">
      <c r="A50" s="1079" t="s">
        <v>2747</v>
      </c>
      <c r="B50" s="1080">
        <v>100000</v>
      </c>
      <c r="C50" s="1080">
        <v>100000</v>
      </c>
      <c r="D50" s="1080">
        <v>0</v>
      </c>
      <c r="E50" s="1080"/>
      <c r="F50" s="1080"/>
      <c r="G50" s="1080"/>
      <c r="H50" s="1080"/>
      <c r="I50" s="1080"/>
    </row>
    <row r="51" spans="1:9">
      <c r="A51" s="1085" t="s">
        <v>2120</v>
      </c>
      <c r="B51" s="1087">
        <v>84</v>
      </c>
      <c r="C51" s="1087">
        <v>19</v>
      </c>
      <c r="D51" s="1087">
        <v>9</v>
      </c>
      <c r="E51" s="1087">
        <v>16</v>
      </c>
      <c r="F51" s="1087">
        <v>5</v>
      </c>
      <c r="G51" s="1087">
        <v>13</v>
      </c>
      <c r="H51" s="1087">
        <v>14</v>
      </c>
      <c r="I51" s="1087">
        <v>8</v>
      </c>
    </row>
    <row r="52" spans="1:9">
      <c r="A52" s="1085" t="s">
        <v>2751</v>
      </c>
      <c r="B52" s="1087">
        <v>256</v>
      </c>
      <c r="C52" s="1087">
        <v>191</v>
      </c>
      <c r="D52" s="1087">
        <v>9</v>
      </c>
      <c r="E52" s="1087">
        <v>16</v>
      </c>
      <c r="F52" s="1087">
        <v>5</v>
      </c>
      <c r="G52" s="1087">
        <v>13</v>
      </c>
      <c r="H52" s="1087">
        <v>14</v>
      </c>
      <c r="I52" s="1087">
        <v>8</v>
      </c>
    </row>
  </sheetData>
  <mergeCells count="1">
    <mergeCell ref="A2:I2"/>
  </mergeCells>
  <pageMargins left="0.5" right="0.45" top="0.25" bottom="0.25" header="0.3" footer="0.3"/>
  <pageSetup scale="8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A39" sqref="A39"/>
    </sheetView>
  </sheetViews>
  <sheetFormatPr defaultRowHeight="16.5"/>
  <cols>
    <col min="1" max="1" width="4.7109375" style="476" customWidth="1"/>
    <col min="2" max="2" width="34.140625" style="476" customWidth="1"/>
    <col min="3" max="3" width="13" style="476" customWidth="1"/>
    <col min="4" max="4" width="9.5703125" style="476" customWidth="1"/>
    <col min="5" max="5" width="15.5703125" style="476" customWidth="1"/>
    <col min="6" max="6" width="13" style="476" customWidth="1"/>
    <col min="7" max="16384" width="9.140625" style="476"/>
  </cols>
  <sheetData>
    <row r="1" spans="1:6">
      <c r="D1" s="477"/>
      <c r="E1" s="477"/>
      <c r="F1" s="477"/>
    </row>
    <row r="2" spans="1:6" ht="17.25">
      <c r="A2" s="1300" t="s">
        <v>947</v>
      </c>
      <c r="B2" s="1300"/>
      <c r="C2" s="1300"/>
      <c r="D2" s="1300"/>
      <c r="E2" s="1300"/>
      <c r="F2" s="1300"/>
    </row>
    <row r="3" spans="1:6" ht="17.25">
      <c r="A3" s="478"/>
      <c r="B3" s="478"/>
      <c r="C3" s="478"/>
      <c r="D3" s="478"/>
      <c r="E3" s="478"/>
      <c r="F3" s="478"/>
    </row>
    <row r="5" spans="1:6" ht="16.5" customHeight="1">
      <c r="B5" s="479" t="s">
        <v>948</v>
      </c>
      <c r="C5" s="1301" t="s">
        <v>949</v>
      </c>
      <c r="D5" s="1301"/>
      <c r="E5" s="1301"/>
      <c r="F5" s="1301"/>
    </row>
    <row r="6" spans="1:6" ht="16.5" customHeight="1">
      <c r="B6" s="477"/>
      <c r="C6" s="1302" t="s">
        <v>973</v>
      </c>
      <c r="D6" s="1302"/>
      <c r="E6" s="1302"/>
      <c r="F6" s="1302"/>
    </row>
    <row r="7" spans="1:6" ht="17.25" customHeight="1">
      <c r="A7" s="480" t="s">
        <v>950</v>
      </c>
      <c r="C7" s="1302"/>
      <c r="D7" s="1302"/>
      <c r="E7" s="1302"/>
      <c r="F7" s="1302"/>
    </row>
    <row r="8" spans="1:6">
      <c r="C8" s="481"/>
      <c r="D8" s="481"/>
      <c r="E8" s="481"/>
      <c r="F8" s="481"/>
    </row>
    <row r="9" spans="1:6" ht="66">
      <c r="A9" s="482" t="s">
        <v>951</v>
      </c>
      <c r="B9" s="483" t="s">
        <v>398</v>
      </c>
      <c r="C9" s="483" t="s">
        <v>952</v>
      </c>
      <c r="D9" s="483" t="s">
        <v>953</v>
      </c>
      <c r="E9" s="483" t="s">
        <v>954</v>
      </c>
      <c r="F9" s="483" t="s">
        <v>955</v>
      </c>
    </row>
    <row r="10" spans="1:6">
      <c r="A10" s="484">
        <v>1</v>
      </c>
      <c r="B10" s="485" t="s">
        <v>956</v>
      </c>
      <c r="C10" s="486">
        <v>14000</v>
      </c>
      <c r="D10" s="484">
        <v>48</v>
      </c>
      <c r="E10" s="484">
        <v>16</v>
      </c>
      <c r="F10" s="486">
        <f>C10*D10*E10</f>
        <v>10752000</v>
      </c>
    </row>
    <row r="11" spans="1:6">
      <c r="A11" s="484">
        <v>2</v>
      </c>
      <c r="B11" s="485" t="s">
        <v>957</v>
      </c>
      <c r="C11" s="486">
        <v>21500</v>
      </c>
      <c r="D11" s="484">
        <v>48</v>
      </c>
      <c r="E11" s="484">
        <v>16</v>
      </c>
      <c r="F11" s="486">
        <f t="shared" ref="F11:F13" si="0">C11*D11*E11</f>
        <v>16512000</v>
      </c>
    </row>
    <row r="12" spans="1:6">
      <c r="A12" s="484">
        <v>3</v>
      </c>
      <c r="B12" s="485" t="s">
        <v>958</v>
      </c>
      <c r="C12" s="486">
        <v>12000</v>
      </c>
      <c r="D12" s="484">
        <v>258</v>
      </c>
      <c r="E12" s="484">
        <v>86</v>
      </c>
      <c r="F12" s="486">
        <f t="shared" si="0"/>
        <v>266256000</v>
      </c>
    </row>
    <row r="13" spans="1:6">
      <c r="A13" s="484">
        <v>4</v>
      </c>
      <c r="B13" s="485" t="s">
        <v>959</v>
      </c>
      <c r="C13" s="486">
        <v>23500</v>
      </c>
      <c r="D13" s="484">
        <v>258</v>
      </c>
      <c r="E13" s="484">
        <v>86</v>
      </c>
      <c r="F13" s="486">
        <f t="shared" si="0"/>
        <v>521418000</v>
      </c>
    </row>
    <row r="14" spans="1:6">
      <c r="A14" s="485"/>
      <c r="B14" s="487" t="s">
        <v>960</v>
      </c>
      <c r="C14" s="488"/>
      <c r="D14" s="489">
        <v>306</v>
      </c>
      <c r="E14" s="489">
        <v>102</v>
      </c>
      <c r="F14" s="488">
        <f>SUM(F10:F13)</f>
        <v>814938000</v>
      </c>
    </row>
    <row r="17" spans="1:6" ht="17.25">
      <c r="A17" s="480" t="s">
        <v>961</v>
      </c>
    </row>
    <row r="19" spans="1:6" ht="49.5">
      <c r="A19" s="482" t="s">
        <v>951</v>
      </c>
      <c r="B19" s="483" t="s">
        <v>962</v>
      </c>
      <c r="C19" s="483" t="s">
        <v>963</v>
      </c>
      <c r="D19" s="483" t="s">
        <v>964</v>
      </c>
      <c r="E19" s="483" t="s">
        <v>965</v>
      </c>
      <c r="F19" s="483" t="s">
        <v>966</v>
      </c>
    </row>
    <row r="20" spans="1:6">
      <c r="A20" s="482">
        <v>1</v>
      </c>
      <c r="B20" s="490" t="s">
        <v>967</v>
      </c>
      <c r="C20" s="483"/>
      <c r="D20" s="483"/>
      <c r="E20" s="483"/>
      <c r="F20" s="491">
        <f>646000*9</f>
        <v>5814000</v>
      </c>
    </row>
    <row r="21" spans="1:6">
      <c r="A21" s="492">
        <v>2</v>
      </c>
      <c r="B21" s="490" t="s">
        <v>968</v>
      </c>
      <c r="C21" s="492"/>
      <c r="D21" s="492"/>
      <c r="E21" s="491"/>
      <c r="F21" s="491">
        <f>65670*21*3</f>
        <v>4137210</v>
      </c>
    </row>
    <row r="22" spans="1:6">
      <c r="A22" s="492">
        <v>3</v>
      </c>
      <c r="B22" s="490" t="s">
        <v>969</v>
      </c>
      <c r="C22" s="492">
        <v>18</v>
      </c>
      <c r="D22" s="493">
        <v>13422</v>
      </c>
      <c r="E22" s="491">
        <v>1850</v>
      </c>
      <c r="F22" s="491">
        <f>C22/100*D22*E22</f>
        <v>4469526</v>
      </c>
    </row>
    <row r="23" spans="1:6">
      <c r="A23" s="485"/>
      <c r="B23" s="487" t="s">
        <v>960</v>
      </c>
      <c r="C23" s="494"/>
      <c r="D23" s="494"/>
      <c r="E23" s="494"/>
      <c r="F23" s="488">
        <f>F20+F21+F22</f>
        <v>14420736</v>
      </c>
    </row>
    <row r="25" spans="1:6">
      <c r="C25" s="477" t="s">
        <v>970</v>
      </c>
      <c r="F25" s="495">
        <f>F14+F23</f>
        <v>829358736</v>
      </c>
    </row>
    <row r="27" spans="1:6" ht="16.5" customHeight="1">
      <c r="A27" s="1303" t="s">
        <v>974</v>
      </c>
      <c r="B27" s="1303"/>
      <c r="C27" s="1303"/>
      <c r="D27" s="1303"/>
      <c r="E27" s="1303"/>
      <c r="F27" s="1303"/>
    </row>
    <row r="28" spans="1:6" ht="16.5" customHeight="1">
      <c r="A28" s="1303"/>
      <c r="B28" s="1303"/>
      <c r="C28" s="1303"/>
      <c r="D28" s="1303"/>
      <c r="E28" s="1303"/>
      <c r="F28" s="1303"/>
    </row>
    <row r="29" spans="1:6">
      <c r="A29" s="1303"/>
      <c r="B29" s="1303"/>
      <c r="C29" s="1303"/>
      <c r="D29" s="1303"/>
      <c r="E29" s="1303"/>
      <c r="F29" s="1303"/>
    </row>
    <row r="30" spans="1:6">
      <c r="A30" s="1303"/>
      <c r="B30" s="1303"/>
      <c r="C30" s="1303"/>
      <c r="D30" s="1303"/>
      <c r="E30" s="1303"/>
      <c r="F30" s="1303"/>
    </row>
    <row r="31" spans="1:6">
      <c r="A31" s="1303"/>
      <c r="B31" s="1303"/>
      <c r="C31" s="1303"/>
      <c r="D31" s="1303"/>
      <c r="E31" s="1303"/>
      <c r="F31" s="1303"/>
    </row>
    <row r="32" spans="1:6">
      <c r="A32" s="1303"/>
      <c r="B32" s="1303"/>
      <c r="C32" s="1303"/>
      <c r="D32" s="1303"/>
      <c r="E32" s="1303"/>
      <c r="F32" s="1303"/>
    </row>
    <row r="33" spans="1:6">
      <c r="A33" s="1303"/>
      <c r="B33" s="1303"/>
      <c r="C33" s="1303"/>
      <c r="D33" s="1303"/>
      <c r="E33" s="1303"/>
      <c r="F33" s="1303"/>
    </row>
    <row r="34" spans="1:6">
      <c r="A34" s="1303"/>
      <c r="B34" s="1303"/>
      <c r="C34" s="1303"/>
      <c r="D34" s="1303"/>
      <c r="E34" s="1303"/>
      <c r="F34" s="1303"/>
    </row>
    <row r="35" spans="1:6">
      <c r="A35" s="1303"/>
      <c r="B35" s="1303"/>
      <c r="C35" s="1303"/>
      <c r="D35" s="1303"/>
      <c r="E35" s="1303"/>
      <c r="F35" s="1303"/>
    </row>
    <row r="36" spans="1:6">
      <c r="A36" s="1303"/>
      <c r="B36" s="1303"/>
      <c r="C36" s="1303"/>
      <c r="D36" s="1303"/>
      <c r="E36" s="1303"/>
      <c r="F36" s="1303"/>
    </row>
    <row r="37" spans="1:6">
      <c r="A37" s="1303"/>
      <c r="B37" s="1303"/>
      <c r="C37" s="1303"/>
      <c r="D37" s="1303"/>
      <c r="E37" s="1303"/>
      <c r="F37" s="1303"/>
    </row>
    <row r="38" spans="1:6">
      <c r="A38" s="1303"/>
      <c r="B38" s="1303"/>
      <c r="C38" s="1303"/>
      <c r="D38" s="1303"/>
      <c r="E38" s="1303"/>
      <c r="F38" s="1303"/>
    </row>
  </sheetData>
  <mergeCells count="4">
    <mergeCell ref="A2:F2"/>
    <mergeCell ref="C5:F5"/>
    <mergeCell ref="C6:F7"/>
    <mergeCell ref="A27:F38"/>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5"/>
  <sheetViews>
    <sheetView workbookViewId="0">
      <selection activeCell="K13" sqref="K13"/>
    </sheetView>
  </sheetViews>
  <sheetFormatPr defaultRowHeight="14.25"/>
  <cols>
    <col min="1" max="1" width="3.28515625" customWidth="1"/>
    <col min="2" max="2" width="4.7109375" customWidth="1"/>
    <col min="3" max="3" width="27.85546875" customWidth="1"/>
    <col min="5" max="5" width="8.28515625" customWidth="1"/>
    <col min="6" max="7" width="10.5703125" customWidth="1"/>
  </cols>
  <sheetData>
    <row r="1" spans="2:8" ht="33.75" customHeight="1">
      <c r="B1" s="1317" t="s">
        <v>1061</v>
      </c>
      <c r="C1" s="1317"/>
      <c r="D1" s="1317"/>
      <c r="E1" s="1317"/>
      <c r="F1" s="1317"/>
      <c r="G1" s="1317"/>
      <c r="H1" s="1317"/>
    </row>
    <row r="2" spans="2:8" ht="9.75" customHeight="1"/>
    <row r="3" spans="2:8">
      <c r="B3" s="1318" t="s">
        <v>1</v>
      </c>
      <c r="C3" s="1320" t="s">
        <v>1062</v>
      </c>
      <c r="D3" s="1322" t="s">
        <v>1063</v>
      </c>
      <c r="E3" s="1323"/>
      <c r="F3" s="1326" t="s">
        <v>1064</v>
      </c>
      <c r="G3" s="1327"/>
      <c r="H3" s="1318" t="s">
        <v>1065</v>
      </c>
    </row>
    <row r="4" spans="2:8" ht="25.5">
      <c r="B4" s="1319"/>
      <c r="C4" s="1321"/>
      <c r="D4" s="1324"/>
      <c r="E4" s="1325"/>
      <c r="F4" s="573" t="s">
        <v>1066</v>
      </c>
      <c r="G4" s="573" t="s">
        <v>1067</v>
      </c>
      <c r="H4" s="1319"/>
    </row>
    <row r="5" spans="2:8" ht="15.75" customHeight="1">
      <c r="B5" s="375">
        <v>1</v>
      </c>
      <c r="C5" s="574" t="s">
        <v>1068</v>
      </c>
      <c r="D5" s="1308" t="s">
        <v>1069</v>
      </c>
      <c r="E5" s="1308"/>
      <c r="F5" s="575">
        <v>42361</v>
      </c>
      <c r="G5" s="575">
        <v>43822</v>
      </c>
      <c r="H5" s="1308">
        <v>544</v>
      </c>
    </row>
    <row r="6" spans="2:8" ht="15" customHeight="1">
      <c r="B6" s="375">
        <v>2</v>
      </c>
      <c r="C6" s="574" t="s">
        <v>1070</v>
      </c>
      <c r="D6" s="1308"/>
      <c r="E6" s="1308"/>
      <c r="F6" s="575">
        <v>42978</v>
      </c>
      <c r="G6" s="575">
        <v>43708</v>
      </c>
      <c r="H6" s="1308"/>
    </row>
    <row r="7" spans="2:8" ht="14.25" customHeight="1">
      <c r="B7" s="375">
        <v>3</v>
      </c>
      <c r="C7" s="574" t="s">
        <v>1071</v>
      </c>
      <c r="D7" s="1308"/>
      <c r="E7" s="1308"/>
      <c r="F7" s="575">
        <v>42978</v>
      </c>
      <c r="G7" s="575">
        <v>43708</v>
      </c>
      <c r="H7" s="1308"/>
    </row>
    <row r="8" spans="2:8" ht="15" customHeight="1">
      <c r="B8" s="375">
        <v>4</v>
      </c>
      <c r="C8" s="574" t="s">
        <v>1072</v>
      </c>
      <c r="D8" s="1308"/>
      <c r="E8" s="1308"/>
      <c r="F8" s="575">
        <v>42978</v>
      </c>
      <c r="G8" s="575">
        <v>43708</v>
      </c>
      <c r="H8" s="1308"/>
    </row>
    <row r="9" spans="2:8" ht="15" customHeight="1">
      <c r="B9" s="375">
        <v>5</v>
      </c>
      <c r="C9" s="574" t="s">
        <v>1073</v>
      </c>
      <c r="D9" s="1308"/>
      <c r="E9" s="1308"/>
      <c r="F9" s="575">
        <v>42978</v>
      </c>
      <c r="G9" s="575">
        <v>43708</v>
      </c>
      <c r="H9" s="1308"/>
    </row>
    <row r="10" spans="2:8" ht="14.25" customHeight="1">
      <c r="B10" s="375">
        <v>6</v>
      </c>
      <c r="C10" s="574" t="s">
        <v>1074</v>
      </c>
      <c r="D10" s="1308"/>
      <c r="E10" s="1308"/>
      <c r="F10" s="575">
        <v>42978</v>
      </c>
      <c r="G10" s="575">
        <v>43708</v>
      </c>
      <c r="H10" s="1308"/>
    </row>
    <row r="11" spans="2:8">
      <c r="B11" s="375">
        <v>7</v>
      </c>
      <c r="C11" s="574" t="s">
        <v>1075</v>
      </c>
      <c r="D11" s="1308"/>
      <c r="E11" s="1308"/>
      <c r="F11" s="575">
        <v>42978</v>
      </c>
      <c r="G11" s="575">
        <v>43708</v>
      </c>
      <c r="H11" s="1308"/>
    </row>
    <row r="12" spans="2:8" ht="13.5" customHeight="1">
      <c r="B12" s="375">
        <v>8</v>
      </c>
      <c r="C12" s="574" t="s">
        <v>1076</v>
      </c>
      <c r="D12" s="1316" t="s">
        <v>1077</v>
      </c>
      <c r="E12" s="1316"/>
      <c r="F12" s="575">
        <v>42887</v>
      </c>
      <c r="G12" s="575">
        <v>43617</v>
      </c>
      <c r="H12" s="499">
        <v>208</v>
      </c>
    </row>
    <row r="13" spans="2:8">
      <c r="B13" s="375">
        <v>9</v>
      </c>
      <c r="C13" s="574" t="s">
        <v>1078</v>
      </c>
      <c r="D13" s="1308" t="s">
        <v>1079</v>
      </c>
      <c r="E13" s="1308"/>
      <c r="F13" s="575">
        <v>42217</v>
      </c>
      <c r="G13" s="575">
        <v>43678</v>
      </c>
      <c r="H13" s="1308">
        <v>898</v>
      </c>
    </row>
    <row r="14" spans="2:8">
      <c r="B14" s="375">
        <v>10</v>
      </c>
      <c r="C14" s="574" t="s">
        <v>1080</v>
      </c>
      <c r="D14" s="1308"/>
      <c r="E14" s="1308"/>
      <c r="F14" s="575">
        <v>42186</v>
      </c>
      <c r="G14" s="575">
        <v>43647</v>
      </c>
      <c r="H14" s="1308"/>
    </row>
    <row r="15" spans="2:8">
      <c r="B15" s="375">
        <v>11</v>
      </c>
      <c r="C15" s="574" t="s">
        <v>1081</v>
      </c>
      <c r="D15" s="1308"/>
      <c r="E15" s="1308"/>
      <c r="F15" s="575">
        <v>42889</v>
      </c>
      <c r="G15" s="575">
        <v>43619</v>
      </c>
      <c r="H15" s="1308"/>
    </row>
    <row r="16" spans="2:8">
      <c r="B16" s="375">
        <v>12</v>
      </c>
      <c r="C16" s="574" t="s">
        <v>1082</v>
      </c>
      <c r="D16" s="1308"/>
      <c r="E16" s="1308"/>
      <c r="F16" s="575">
        <v>42217</v>
      </c>
      <c r="G16" s="575">
        <v>43678</v>
      </c>
      <c r="H16" s="1308"/>
    </row>
    <row r="17" spans="2:8">
      <c r="B17" s="375">
        <v>13</v>
      </c>
      <c r="C17" s="574" t="s">
        <v>1083</v>
      </c>
      <c r="D17" s="1308" t="s">
        <v>1084</v>
      </c>
      <c r="E17" s="1308"/>
      <c r="F17" s="575">
        <v>42132</v>
      </c>
      <c r="G17" s="575">
        <v>43593</v>
      </c>
      <c r="H17" s="1308">
        <v>990</v>
      </c>
    </row>
    <row r="18" spans="2:8" ht="13.5" customHeight="1">
      <c r="B18" s="375">
        <v>14</v>
      </c>
      <c r="C18" s="574" t="s">
        <v>1085</v>
      </c>
      <c r="D18" s="1308"/>
      <c r="E18" s="1308"/>
      <c r="F18" s="576">
        <v>43208</v>
      </c>
      <c r="G18" s="576">
        <v>43573</v>
      </c>
      <c r="H18" s="1308"/>
    </row>
    <row r="19" spans="2:8" ht="14.25" customHeight="1">
      <c r="B19" s="375">
        <v>15</v>
      </c>
      <c r="C19" s="574" t="s">
        <v>1086</v>
      </c>
      <c r="D19" s="1308"/>
      <c r="E19" s="1308"/>
      <c r="F19" s="576">
        <v>43208</v>
      </c>
      <c r="G19" s="576">
        <v>43573</v>
      </c>
      <c r="H19" s="1308"/>
    </row>
    <row r="20" spans="2:8">
      <c r="B20" s="375">
        <v>16</v>
      </c>
      <c r="C20" s="574" t="s">
        <v>1087</v>
      </c>
      <c r="D20" s="1308"/>
      <c r="E20" s="1308"/>
      <c r="F20" s="575">
        <v>42092</v>
      </c>
      <c r="G20" s="575">
        <v>43553</v>
      </c>
      <c r="H20" s="1308"/>
    </row>
    <row r="21" spans="2:8" ht="15" customHeight="1">
      <c r="B21" s="375">
        <v>17</v>
      </c>
      <c r="C21" s="574" t="s">
        <v>1088</v>
      </c>
      <c r="D21" s="1308" t="s">
        <v>1089</v>
      </c>
      <c r="E21" s="1308"/>
      <c r="F21" s="575">
        <v>42737</v>
      </c>
      <c r="G21" s="575">
        <v>43467</v>
      </c>
      <c r="H21" s="1308">
        <v>931</v>
      </c>
    </row>
    <row r="22" spans="2:8">
      <c r="B22" s="375">
        <v>18</v>
      </c>
      <c r="C22" s="574" t="s">
        <v>1090</v>
      </c>
      <c r="D22" s="1308"/>
      <c r="E22" s="1308"/>
      <c r="F22" s="575">
        <v>43090</v>
      </c>
      <c r="G22" s="575">
        <v>43820</v>
      </c>
      <c r="H22" s="1308"/>
    </row>
    <row r="23" spans="2:8">
      <c r="B23" s="375">
        <v>19</v>
      </c>
      <c r="C23" s="574" t="s">
        <v>1091</v>
      </c>
      <c r="D23" s="1308"/>
      <c r="E23" s="1308"/>
      <c r="F23" s="575">
        <v>42254</v>
      </c>
      <c r="G23" s="575">
        <v>43715</v>
      </c>
      <c r="H23" s="1308"/>
    </row>
    <row r="24" spans="2:8">
      <c r="B24" s="375">
        <v>20</v>
      </c>
      <c r="C24" s="574" t="s">
        <v>1092</v>
      </c>
      <c r="D24" s="1308"/>
      <c r="E24" s="1308"/>
      <c r="F24" s="575">
        <v>43090</v>
      </c>
      <c r="G24" s="575">
        <v>43820</v>
      </c>
      <c r="H24" s="1308"/>
    </row>
    <row r="25" spans="2:8">
      <c r="B25" s="375">
        <v>21</v>
      </c>
      <c r="C25" s="574" t="s">
        <v>1093</v>
      </c>
      <c r="D25" s="1308"/>
      <c r="E25" s="1308"/>
      <c r="F25" s="575">
        <v>43090</v>
      </c>
      <c r="G25" s="575">
        <v>43820</v>
      </c>
      <c r="H25" s="1308"/>
    </row>
    <row r="26" spans="2:8">
      <c r="B26" s="375">
        <v>22</v>
      </c>
      <c r="C26" s="574" t="s">
        <v>1094</v>
      </c>
      <c r="D26" s="1308"/>
      <c r="E26" s="1308"/>
      <c r="F26" s="575">
        <v>43090</v>
      </c>
      <c r="G26" s="575">
        <v>43820</v>
      </c>
      <c r="H26" s="1308"/>
    </row>
    <row r="27" spans="2:8">
      <c r="B27" s="375">
        <v>23</v>
      </c>
      <c r="C27" s="574" t="s">
        <v>1095</v>
      </c>
      <c r="D27" s="1308"/>
      <c r="E27" s="1308"/>
      <c r="F27" s="575">
        <v>43090</v>
      </c>
      <c r="G27" s="575">
        <v>43820</v>
      </c>
      <c r="H27" s="1308"/>
    </row>
    <row r="28" spans="2:8">
      <c r="B28" s="375">
        <v>24</v>
      </c>
      <c r="C28" s="574" t="s">
        <v>1096</v>
      </c>
      <c r="D28" s="1316" t="s">
        <v>1097</v>
      </c>
      <c r="E28" s="1316"/>
      <c r="F28" s="575">
        <v>42863</v>
      </c>
      <c r="G28" s="575">
        <v>43593</v>
      </c>
      <c r="H28" s="499">
        <v>56</v>
      </c>
    </row>
    <row r="29" spans="2:8">
      <c r="B29" s="375">
        <v>25</v>
      </c>
      <c r="C29" s="574" t="s">
        <v>1098</v>
      </c>
      <c r="D29" s="1316" t="s">
        <v>1099</v>
      </c>
      <c r="E29" s="1316"/>
      <c r="F29" s="575">
        <v>43035</v>
      </c>
      <c r="G29" s="575">
        <v>43765</v>
      </c>
      <c r="H29" s="499">
        <v>0</v>
      </c>
    </row>
    <row r="30" spans="2:8" ht="13.5" customHeight="1">
      <c r="B30" s="375">
        <v>26</v>
      </c>
      <c r="C30" s="574" t="s">
        <v>1100</v>
      </c>
      <c r="D30" s="1308" t="s">
        <v>1101</v>
      </c>
      <c r="E30" s="1308"/>
      <c r="F30" s="575">
        <v>42675</v>
      </c>
      <c r="G30" s="575">
        <v>43770</v>
      </c>
      <c r="H30" s="1308">
        <v>538</v>
      </c>
    </row>
    <row r="31" spans="2:8">
      <c r="B31" s="375">
        <v>27</v>
      </c>
      <c r="C31" s="574" t="s">
        <v>1102</v>
      </c>
      <c r="D31" s="1308"/>
      <c r="E31" s="1308"/>
      <c r="F31" s="575">
        <v>42309</v>
      </c>
      <c r="G31" s="575">
        <v>43770</v>
      </c>
      <c r="H31" s="1308"/>
    </row>
    <row r="32" spans="2:8">
      <c r="B32" s="375">
        <v>28</v>
      </c>
      <c r="C32" s="574" t="s">
        <v>1103</v>
      </c>
      <c r="D32" s="1308"/>
      <c r="E32" s="1308"/>
      <c r="F32" s="575">
        <v>42309</v>
      </c>
      <c r="G32" s="575">
        <v>43770</v>
      </c>
      <c r="H32" s="1308"/>
    </row>
    <row r="33" spans="2:8">
      <c r="B33" s="375">
        <v>29</v>
      </c>
      <c r="C33" s="574" t="s">
        <v>1104</v>
      </c>
      <c r="D33" s="1308"/>
      <c r="E33" s="1308"/>
      <c r="F33" s="575">
        <v>42675</v>
      </c>
      <c r="G33" s="575">
        <v>43770</v>
      </c>
      <c r="H33" s="1308"/>
    </row>
    <row r="34" spans="2:8">
      <c r="B34" s="375">
        <v>30</v>
      </c>
      <c r="C34" s="574" t="s">
        <v>1105</v>
      </c>
      <c r="D34" s="1308" t="s">
        <v>1106</v>
      </c>
      <c r="E34" s="1308"/>
      <c r="F34" s="575">
        <v>43271</v>
      </c>
      <c r="G34" s="575">
        <v>43636</v>
      </c>
      <c r="H34" s="1308">
        <v>411</v>
      </c>
    </row>
    <row r="35" spans="2:8">
      <c r="B35" s="375">
        <v>31</v>
      </c>
      <c r="C35" s="574" t="s">
        <v>1071</v>
      </c>
      <c r="D35" s="1308"/>
      <c r="E35" s="1308"/>
      <c r="F35" s="575">
        <v>43271</v>
      </c>
      <c r="G35" s="575">
        <v>43636</v>
      </c>
      <c r="H35" s="1308"/>
    </row>
    <row r="36" spans="2:8">
      <c r="B36" s="375">
        <v>32</v>
      </c>
      <c r="C36" s="574" t="s">
        <v>1107</v>
      </c>
      <c r="D36" s="1308"/>
      <c r="E36" s="1308"/>
      <c r="F36" s="575">
        <v>42920</v>
      </c>
      <c r="G36" s="575">
        <v>43650</v>
      </c>
      <c r="H36" s="1308"/>
    </row>
    <row r="37" spans="2:8">
      <c r="B37" s="375">
        <v>33</v>
      </c>
      <c r="C37" s="574" t="s">
        <v>1108</v>
      </c>
      <c r="D37" s="1308"/>
      <c r="E37" s="1308"/>
      <c r="F37" s="575">
        <v>42920</v>
      </c>
      <c r="G37" s="575">
        <v>43650</v>
      </c>
      <c r="H37" s="1308"/>
    </row>
    <row r="38" spans="2:8">
      <c r="B38" s="375">
        <v>34</v>
      </c>
      <c r="C38" s="574" t="s">
        <v>1109</v>
      </c>
      <c r="D38" s="1308"/>
      <c r="E38" s="1308"/>
      <c r="F38" s="575">
        <v>42920</v>
      </c>
      <c r="G38" s="575">
        <v>43650</v>
      </c>
      <c r="H38" s="1308"/>
    </row>
    <row r="39" spans="2:8">
      <c r="B39" s="375">
        <v>35</v>
      </c>
      <c r="C39" s="574" t="s">
        <v>1110</v>
      </c>
      <c r="D39" s="1308"/>
      <c r="E39" s="1308"/>
      <c r="F39" s="575">
        <v>42920</v>
      </c>
      <c r="G39" s="575">
        <v>43650</v>
      </c>
      <c r="H39" s="1308"/>
    </row>
    <row r="40" spans="2:8">
      <c r="B40" s="375">
        <v>36</v>
      </c>
      <c r="C40" s="574" t="s">
        <v>1111</v>
      </c>
      <c r="D40" s="1308" t="s">
        <v>1112</v>
      </c>
      <c r="E40" s="1308"/>
      <c r="F40" s="575">
        <v>43038</v>
      </c>
      <c r="G40" s="575">
        <v>43768</v>
      </c>
      <c r="H40" s="1308">
        <v>416</v>
      </c>
    </row>
    <row r="41" spans="2:8">
      <c r="B41" s="375">
        <v>37</v>
      </c>
      <c r="C41" s="574" t="s">
        <v>1113</v>
      </c>
      <c r="D41" s="1308"/>
      <c r="E41" s="1308"/>
      <c r="F41" s="575">
        <v>43038</v>
      </c>
      <c r="G41" s="575">
        <v>43768</v>
      </c>
      <c r="H41" s="1308"/>
    </row>
    <row r="42" spans="2:8" ht="15.75" customHeight="1">
      <c r="B42" s="375">
        <v>38</v>
      </c>
      <c r="C42" s="574" t="s">
        <v>1114</v>
      </c>
      <c r="D42" s="1308"/>
      <c r="E42" s="1308"/>
      <c r="F42" s="575">
        <v>42978</v>
      </c>
      <c r="G42" s="575">
        <v>43708</v>
      </c>
      <c r="H42" s="1308"/>
    </row>
    <row r="43" spans="2:8">
      <c r="B43" s="375">
        <v>39</v>
      </c>
      <c r="C43" s="574" t="s">
        <v>1115</v>
      </c>
      <c r="D43" s="1308"/>
      <c r="E43" s="1308"/>
      <c r="F43" s="575">
        <v>42254</v>
      </c>
      <c r="G43" s="575">
        <v>43715</v>
      </c>
      <c r="H43" s="1308"/>
    </row>
    <row r="44" spans="2:8">
      <c r="B44" s="375">
        <v>40</v>
      </c>
      <c r="C44" s="574" t="s">
        <v>1116</v>
      </c>
      <c r="D44" s="1308"/>
      <c r="E44" s="1308"/>
      <c r="F44" s="575">
        <v>42991</v>
      </c>
      <c r="G44" s="575">
        <v>43721</v>
      </c>
      <c r="H44" s="1308"/>
    </row>
    <row r="45" spans="2:8" ht="26.25">
      <c r="B45" s="375">
        <v>41</v>
      </c>
      <c r="C45" s="574" t="s">
        <v>1117</v>
      </c>
      <c r="D45" s="1308" t="s">
        <v>1118</v>
      </c>
      <c r="E45" s="1308"/>
      <c r="F45" s="575">
        <v>41927</v>
      </c>
      <c r="G45" s="575">
        <v>43753</v>
      </c>
      <c r="H45" s="1308">
        <v>884</v>
      </c>
    </row>
    <row r="46" spans="2:8" ht="27.75" customHeight="1">
      <c r="B46" s="375">
        <v>42</v>
      </c>
      <c r="C46" s="574" t="s">
        <v>1119</v>
      </c>
      <c r="D46" s="1308"/>
      <c r="E46" s="1308"/>
      <c r="F46" s="575">
        <v>42000</v>
      </c>
      <c r="G46" s="575">
        <v>43574</v>
      </c>
      <c r="H46" s="1308"/>
    </row>
    <row r="47" spans="2:8">
      <c r="B47" s="375">
        <v>43</v>
      </c>
      <c r="C47" s="574" t="s">
        <v>1120</v>
      </c>
      <c r="D47" s="1308"/>
      <c r="E47" s="1308"/>
      <c r="F47" s="575">
        <v>42479</v>
      </c>
      <c r="G47" s="575">
        <v>43574</v>
      </c>
      <c r="H47" s="1308"/>
    </row>
    <row r="48" spans="2:8">
      <c r="B48" s="375">
        <v>44</v>
      </c>
      <c r="C48" s="574" t="s">
        <v>1121</v>
      </c>
      <c r="D48" s="1308"/>
      <c r="E48" s="1308"/>
      <c r="F48" s="575">
        <v>42479</v>
      </c>
      <c r="G48" s="575">
        <v>43574</v>
      </c>
      <c r="H48" s="1308"/>
    </row>
    <row r="49" spans="2:8">
      <c r="B49" s="375">
        <v>45</v>
      </c>
      <c r="C49" s="574" t="s">
        <v>1122</v>
      </c>
      <c r="D49" s="1308"/>
      <c r="E49" s="1308"/>
      <c r="F49" s="575">
        <v>42479</v>
      </c>
      <c r="G49" s="575">
        <v>43574</v>
      </c>
      <c r="H49" s="1308"/>
    </row>
    <row r="50" spans="2:8">
      <c r="B50" s="375">
        <v>46</v>
      </c>
      <c r="C50" s="574" t="s">
        <v>1123</v>
      </c>
      <c r="D50" s="1308"/>
      <c r="E50" s="1308"/>
      <c r="F50" s="575">
        <v>42479</v>
      </c>
      <c r="G50" s="575">
        <v>43574</v>
      </c>
      <c r="H50" s="1308"/>
    </row>
    <row r="51" spans="2:8">
      <c r="B51" s="375">
        <v>47</v>
      </c>
      <c r="C51" s="574" t="s">
        <v>1124</v>
      </c>
      <c r="D51" s="1308"/>
      <c r="E51" s="1308"/>
      <c r="F51" s="575">
        <v>42844</v>
      </c>
      <c r="G51" s="575">
        <v>43574</v>
      </c>
      <c r="H51" s="1308"/>
    </row>
    <row r="52" spans="2:8" ht="13.5" customHeight="1">
      <c r="B52" s="375">
        <v>48</v>
      </c>
      <c r="C52" s="574" t="s">
        <v>1125</v>
      </c>
      <c r="D52" s="1308" t="s">
        <v>1126</v>
      </c>
      <c r="E52" s="1308"/>
      <c r="F52" s="575">
        <v>42361</v>
      </c>
      <c r="G52" s="575">
        <v>43822</v>
      </c>
      <c r="H52" s="1308">
        <v>535</v>
      </c>
    </row>
    <row r="53" spans="2:8">
      <c r="B53" s="375">
        <v>49</v>
      </c>
      <c r="C53" s="574" t="s">
        <v>1127</v>
      </c>
      <c r="D53" s="1308"/>
      <c r="E53" s="1308"/>
      <c r="F53" s="575">
        <v>43090</v>
      </c>
      <c r="G53" s="575">
        <v>43820</v>
      </c>
      <c r="H53" s="1308"/>
    </row>
    <row r="54" spans="2:8">
      <c r="B54" s="375">
        <v>50</v>
      </c>
      <c r="C54" s="574" t="s">
        <v>1128</v>
      </c>
      <c r="D54" s="1308"/>
      <c r="E54" s="1308"/>
      <c r="F54" s="575">
        <v>42361</v>
      </c>
      <c r="G54" s="575">
        <v>43822</v>
      </c>
      <c r="H54" s="1308"/>
    </row>
    <row r="55" spans="2:8">
      <c r="B55" s="375">
        <v>51</v>
      </c>
      <c r="C55" s="574" t="s">
        <v>1129</v>
      </c>
      <c r="D55" s="1308"/>
      <c r="E55" s="1308"/>
      <c r="F55" s="575">
        <v>42361</v>
      </c>
      <c r="G55" s="575">
        <v>43822</v>
      </c>
      <c r="H55" s="1308"/>
    </row>
    <row r="56" spans="2:8">
      <c r="B56" s="375">
        <v>52</v>
      </c>
      <c r="C56" s="574" t="s">
        <v>1130</v>
      </c>
      <c r="D56" s="1308"/>
      <c r="E56" s="1308"/>
      <c r="F56" s="575">
        <v>42248</v>
      </c>
      <c r="G56" s="575">
        <v>43709</v>
      </c>
      <c r="H56" s="1308"/>
    </row>
    <row r="57" spans="2:8">
      <c r="B57" s="375">
        <v>53</v>
      </c>
      <c r="C57" s="574" t="s">
        <v>1131</v>
      </c>
      <c r="D57" s="1308" t="s">
        <v>1132</v>
      </c>
      <c r="E57" s="1308"/>
      <c r="F57" s="575">
        <v>42978</v>
      </c>
      <c r="G57" s="575">
        <v>43708</v>
      </c>
      <c r="H57" s="1308">
        <v>596</v>
      </c>
    </row>
    <row r="58" spans="2:8">
      <c r="B58" s="375">
        <v>54</v>
      </c>
      <c r="C58" s="574" t="s">
        <v>1071</v>
      </c>
      <c r="D58" s="1308"/>
      <c r="E58" s="1308"/>
      <c r="F58" s="575">
        <v>42924</v>
      </c>
      <c r="G58" s="575">
        <v>43654</v>
      </c>
      <c r="H58" s="1308"/>
    </row>
    <row r="59" spans="2:8">
      <c r="B59" s="375">
        <v>55</v>
      </c>
      <c r="C59" s="574" t="s">
        <v>1133</v>
      </c>
      <c r="D59" s="1308"/>
      <c r="E59" s="1308"/>
      <c r="F59" s="575">
        <v>42978</v>
      </c>
      <c r="G59" s="575">
        <v>43708</v>
      </c>
      <c r="H59" s="1308"/>
    </row>
    <row r="60" spans="2:8">
      <c r="B60" s="375">
        <v>56</v>
      </c>
      <c r="C60" s="574" t="s">
        <v>1134</v>
      </c>
      <c r="D60" s="1308"/>
      <c r="E60" s="1308"/>
      <c r="F60" s="575">
        <v>42978</v>
      </c>
      <c r="G60" s="575">
        <v>43708</v>
      </c>
      <c r="H60" s="1308"/>
    </row>
    <row r="61" spans="2:8">
      <c r="B61" s="375">
        <v>57</v>
      </c>
      <c r="C61" s="574" t="s">
        <v>1135</v>
      </c>
      <c r="D61" s="1308"/>
      <c r="E61" s="1308"/>
      <c r="F61" s="575">
        <v>43035</v>
      </c>
      <c r="G61" s="575">
        <v>43765</v>
      </c>
      <c r="H61" s="1308"/>
    </row>
    <row r="62" spans="2:8" ht="15.75" customHeight="1">
      <c r="B62" s="375">
        <v>58</v>
      </c>
      <c r="C62" s="574" t="s">
        <v>1136</v>
      </c>
      <c r="D62" s="1308" t="s">
        <v>1137</v>
      </c>
      <c r="E62" s="1308"/>
      <c r="F62" s="575">
        <v>42125</v>
      </c>
      <c r="G62" s="575">
        <v>43586</v>
      </c>
      <c r="H62" s="1308">
        <v>1003</v>
      </c>
    </row>
    <row r="63" spans="2:8">
      <c r="B63" s="375">
        <v>59</v>
      </c>
      <c r="C63" s="574" t="s">
        <v>1138</v>
      </c>
      <c r="D63" s="1308"/>
      <c r="E63" s="1308"/>
      <c r="F63" s="575">
        <v>43027</v>
      </c>
      <c r="G63" s="575">
        <v>43757</v>
      </c>
      <c r="H63" s="1308"/>
    </row>
    <row r="64" spans="2:8">
      <c r="B64" s="375">
        <v>60</v>
      </c>
      <c r="C64" s="574" t="s">
        <v>1139</v>
      </c>
      <c r="D64" s="1308"/>
      <c r="E64" s="1308"/>
      <c r="F64" s="575">
        <v>42987</v>
      </c>
      <c r="G64" s="575">
        <v>43717</v>
      </c>
      <c r="H64" s="1308"/>
    </row>
    <row r="65" spans="2:8">
      <c r="B65" s="375">
        <v>61</v>
      </c>
      <c r="C65" s="574" t="s">
        <v>1140</v>
      </c>
      <c r="D65" s="1308"/>
      <c r="E65" s="1308"/>
      <c r="F65" s="575">
        <v>42125</v>
      </c>
      <c r="G65" s="575">
        <v>43586</v>
      </c>
      <c r="H65" s="1308"/>
    </row>
    <row r="66" spans="2:8" ht="16.5" customHeight="1">
      <c r="B66" s="375">
        <v>62</v>
      </c>
      <c r="C66" s="574" t="s">
        <v>1141</v>
      </c>
      <c r="D66" s="1308"/>
      <c r="E66" s="1308"/>
      <c r="F66" s="575">
        <v>42125</v>
      </c>
      <c r="G66" s="575">
        <v>43586</v>
      </c>
      <c r="H66" s="1308"/>
    </row>
    <row r="67" spans="2:8">
      <c r="B67" s="375">
        <v>63</v>
      </c>
      <c r="C67" s="574" t="s">
        <v>1142</v>
      </c>
      <c r="D67" s="1308"/>
      <c r="E67" s="1308"/>
      <c r="F67" s="575">
        <v>42128</v>
      </c>
      <c r="G67" s="575">
        <v>43589</v>
      </c>
      <c r="H67" s="1308"/>
    </row>
    <row r="68" spans="2:8">
      <c r="B68" s="375">
        <v>64</v>
      </c>
      <c r="C68" s="574" t="s">
        <v>1143</v>
      </c>
      <c r="D68" s="1308"/>
      <c r="E68" s="1308"/>
      <c r="F68" s="575">
        <v>42125</v>
      </c>
      <c r="G68" s="575">
        <v>43586</v>
      </c>
      <c r="H68" s="1308"/>
    </row>
    <row r="69" spans="2:8" ht="15.75" customHeight="1">
      <c r="B69" s="375">
        <v>65</v>
      </c>
      <c r="C69" s="574" t="s">
        <v>1144</v>
      </c>
      <c r="D69" s="1308" t="s">
        <v>1145</v>
      </c>
      <c r="E69" s="1308"/>
      <c r="F69" s="575">
        <v>42024</v>
      </c>
      <c r="G69" s="575">
        <v>43485</v>
      </c>
      <c r="H69" s="1308">
        <v>560</v>
      </c>
    </row>
    <row r="70" spans="2:8" ht="15.75" customHeight="1">
      <c r="B70" s="375">
        <v>66</v>
      </c>
      <c r="C70" s="577" t="s">
        <v>1146</v>
      </c>
      <c r="D70" s="1308"/>
      <c r="E70" s="1308"/>
      <c r="F70" s="575">
        <v>42024</v>
      </c>
      <c r="G70" s="575">
        <v>43485</v>
      </c>
      <c r="H70" s="1308"/>
    </row>
    <row r="71" spans="2:8">
      <c r="B71" s="375">
        <v>67</v>
      </c>
      <c r="C71" s="574" t="s">
        <v>1147</v>
      </c>
      <c r="D71" s="1308"/>
      <c r="E71" s="1308"/>
      <c r="F71" s="575">
        <v>42881</v>
      </c>
      <c r="G71" s="575">
        <v>43611</v>
      </c>
      <c r="H71" s="1308"/>
    </row>
    <row r="72" spans="2:8" ht="14.25" customHeight="1">
      <c r="B72" s="375">
        <v>68</v>
      </c>
      <c r="C72" s="574" t="s">
        <v>1148</v>
      </c>
      <c r="D72" s="1308"/>
      <c r="E72" s="1308"/>
      <c r="F72" s="575">
        <v>42881</v>
      </c>
      <c r="G72" s="575">
        <v>43611</v>
      </c>
      <c r="H72" s="1308"/>
    </row>
    <row r="73" spans="2:8">
      <c r="B73" s="375">
        <v>69</v>
      </c>
      <c r="C73" s="574" t="s">
        <v>1149</v>
      </c>
      <c r="D73" s="1310" t="s">
        <v>1150</v>
      </c>
      <c r="E73" s="1311"/>
      <c r="F73" s="575">
        <v>42024</v>
      </c>
      <c r="G73" s="575">
        <v>43485</v>
      </c>
      <c r="H73" s="1308">
        <v>666</v>
      </c>
    </row>
    <row r="74" spans="2:8">
      <c r="B74" s="375">
        <v>70</v>
      </c>
      <c r="C74" s="574" t="s">
        <v>1151</v>
      </c>
      <c r="D74" s="1312"/>
      <c r="E74" s="1313"/>
      <c r="F74" s="575">
        <v>42024</v>
      </c>
      <c r="G74" s="575">
        <v>43485</v>
      </c>
      <c r="H74" s="1308"/>
    </row>
    <row r="75" spans="2:8">
      <c r="B75" s="375">
        <v>71</v>
      </c>
      <c r="C75" s="574" t="s">
        <v>1152</v>
      </c>
      <c r="D75" s="1312"/>
      <c r="E75" s="1313"/>
      <c r="F75" s="575">
        <v>42024</v>
      </c>
      <c r="G75" s="575">
        <v>43485</v>
      </c>
      <c r="H75" s="1308"/>
    </row>
    <row r="76" spans="2:8" ht="12.75" customHeight="1">
      <c r="B76" s="375">
        <v>72</v>
      </c>
      <c r="C76" s="574" t="s">
        <v>1153</v>
      </c>
      <c r="D76" s="1312"/>
      <c r="E76" s="1313"/>
      <c r="F76" s="575">
        <v>43208</v>
      </c>
      <c r="G76" s="575">
        <v>43573</v>
      </c>
      <c r="H76" s="1308"/>
    </row>
    <row r="77" spans="2:8">
      <c r="B77" s="375">
        <v>73</v>
      </c>
      <c r="C77" s="574" t="s">
        <v>1154</v>
      </c>
      <c r="D77" s="1314"/>
      <c r="E77" s="1315"/>
      <c r="F77" s="575">
        <v>42461</v>
      </c>
      <c r="G77" s="575">
        <v>43556</v>
      </c>
      <c r="H77" s="1308"/>
    </row>
    <row r="78" spans="2:8">
      <c r="B78" s="375">
        <v>74</v>
      </c>
      <c r="C78" s="574" t="s">
        <v>1155</v>
      </c>
      <c r="D78" s="1308" t="s">
        <v>1156</v>
      </c>
      <c r="E78" s="1308"/>
      <c r="F78" s="575">
        <v>42978</v>
      </c>
      <c r="G78" s="575">
        <v>43708</v>
      </c>
      <c r="H78" s="1308">
        <v>1200</v>
      </c>
    </row>
    <row r="79" spans="2:8">
      <c r="B79" s="375">
        <v>75</v>
      </c>
      <c r="C79" s="574" t="s">
        <v>1157</v>
      </c>
      <c r="D79" s="1308"/>
      <c r="E79" s="1308"/>
      <c r="F79" s="575">
        <v>42430</v>
      </c>
      <c r="G79" s="575">
        <v>43525</v>
      </c>
      <c r="H79" s="1308"/>
    </row>
    <row r="80" spans="2:8">
      <c r="B80" s="375">
        <v>76</v>
      </c>
      <c r="C80" s="574" t="s">
        <v>1158</v>
      </c>
      <c r="D80" s="1308"/>
      <c r="E80" s="1308"/>
      <c r="F80" s="575">
        <v>42430</v>
      </c>
      <c r="G80" s="575">
        <v>43525</v>
      </c>
      <c r="H80" s="1308"/>
    </row>
    <row r="81" spans="2:8">
      <c r="B81" s="375">
        <v>77</v>
      </c>
      <c r="C81" s="574" t="s">
        <v>1159</v>
      </c>
      <c r="D81" s="1308"/>
      <c r="E81" s="1308"/>
      <c r="F81" s="575">
        <v>42978</v>
      </c>
      <c r="G81" s="575">
        <v>43708</v>
      </c>
      <c r="H81" s="1308"/>
    </row>
    <row r="82" spans="2:8">
      <c r="B82" s="375">
        <v>78</v>
      </c>
      <c r="C82" s="574" t="s">
        <v>1160</v>
      </c>
      <c r="D82" s="1308"/>
      <c r="E82" s="1308"/>
      <c r="F82" s="575">
        <v>42024</v>
      </c>
      <c r="G82" s="575">
        <v>43485</v>
      </c>
      <c r="H82" s="1308"/>
    </row>
    <row r="83" spans="2:8">
      <c r="B83" s="375">
        <v>79</v>
      </c>
      <c r="C83" s="574" t="s">
        <v>1161</v>
      </c>
      <c r="D83" s="1308"/>
      <c r="E83" s="1308"/>
      <c r="F83" s="575">
        <v>42024</v>
      </c>
      <c r="G83" s="575">
        <v>43485</v>
      </c>
      <c r="H83" s="1308"/>
    </row>
    <row r="84" spans="2:8">
      <c r="B84" s="375">
        <v>80</v>
      </c>
      <c r="C84" s="574" t="s">
        <v>1162</v>
      </c>
      <c r="D84" s="1308"/>
      <c r="E84" s="1308"/>
      <c r="F84" s="575">
        <v>42024</v>
      </c>
      <c r="G84" s="575">
        <v>43485</v>
      </c>
      <c r="H84" s="1308"/>
    </row>
    <row r="85" spans="2:8">
      <c r="B85" s="375">
        <v>81</v>
      </c>
      <c r="C85" s="574" t="s">
        <v>1163</v>
      </c>
      <c r="D85" s="1308"/>
      <c r="E85" s="1308"/>
      <c r="F85" s="575">
        <v>42024</v>
      </c>
      <c r="G85" s="575">
        <v>43485</v>
      </c>
      <c r="H85" s="1308"/>
    </row>
    <row r="86" spans="2:8">
      <c r="B86" s="375">
        <v>82</v>
      </c>
      <c r="C86" s="574" t="s">
        <v>1164</v>
      </c>
      <c r="D86" s="1308"/>
      <c r="E86" s="1308"/>
      <c r="F86" s="575">
        <v>42430</v>
      </c>
      <c r="G86" s="575">
        <v>43525</v>
      </c>
      <c r="H86" s="1308"/>
    </row>
    <row r="87" spans="2:8">
      <c r="B87" s="375">
        <v>83</v>
      </c>
      <c r="C87" s="574" t="s">
        <v>1165</v>
      </c>
      <c r="D87" s="1308"/>
      <c r="E87" s="1308"/>
      <c r="F87" s="575">
        <v>42024</v>
      </c>
      <c r="G87" s="575">
        <v>43485</v>
      </c>
      <c r="H87" s="1308"/>
    </row>
    <row r="88" spans="2:8">
      <c r="B88" s="375">
        <v>84</v>
      </c>
      <c r="C88" s="574" t="s">
        <v>1166</v>
      </c>
      <c r="D88" s="1308"/>
      <c r="E88" s="1308"/>
      <c r="F88" s="575">
        <v>42978</v>
      </c>
      <c r="G88" s="575">
        <v>43708</v>
      </c>
      <c r="H88" s="1308"/>
    </row>
    <row r="89" spans="2:8" ht="26.25">
      <c r="B89" s="375">
        <v>85</v>
      </c>
      <c r="C89" s="574" t="s">
        <v>1167</v>
      </c>
      <c r="D89" s="1308" t="s">
        <v>1168</v>
      </c>
      <c r="E89" s="1308"/>
      <c r="F89" s="575">
        <v>42889</v>
      </c>
      <c r="G89" s="575">
        <v>43619</v>
      </c>
      <c r="H89" s="1308">
        <v>1344</v>
      </c>
    </row>
    <row r="90" spans="2:8">
      <c r="B90" s="375">
        <v>86</v>
      </c>
      <c r="C90" s="574" t="s">
        <v>1169</v>
      </c>
      <c r="D90" s="1308"/>
      <c r="E90" s="1308"/>
      <c r="F90" s="575">
        <v>42826</v>
      </c>
      <c r="G90" s="575">
        <v>43556</v>
      </c>
      <c r="H90" s="1308"/>
    </row>
    <row r="91" spans="2:8" ht="15.75" customHeight="1">
      <c r="B91" s="375">
        <v>87</v>
      </c>
      <c r="C91" s="574" t="s">
        <v>1170</v>
      </c>
      <c r="D91" s="1308"/>
      <c r="E91" s="1308"/>
      <c r="F91" s="575">
        <v>41793</v>
      </c>
      <c r="G91" s="575">
        <v>43619</v>
      </c>
      <c r="H91" s="1308"/>
    </row>
    <row r="92" spans="2:8">
      <c r="B92" s="375">
        <v>88</v>
      </c>
      <c r="C92" s="574" t="s">
        <v>1171</v>
      </c>
      <c r="D92" s="1308"/>
      <c r="E92" s="1308"/>
      <c r="F92" s="575">
        <v>41883</v>
      </c>
      <c r="G92" s="575">
        <v>43709</v>
      </c>
      <c r="H92" s="1308"/>
    </row>
    <row r="93" spans="2:8">
      <c r="B93" s="375">
        <v>89</v>
      </c>
      <c r="C93" s="574" t="s">
        <v>1172</v>
      </c>
      <c r="D93" s="1308"/>
      <c r="E93" s="1308"/>
      <c r="F93" s="575">
        <v>42735</v>
      </c>
      <c r="G93" s="575">
        <v>43830</v>
      </c>
      <c r="H93" s="1308"/>
    </row>
    <row r="94" spans="2:8">
      <c r="B94" s="375">
        <v>90</v>
      </c>
      <c r="C94" s="574" t="s">
        <v>1173</v>
      </c>
      <c r="D94" s="1308"/>
      <c r="E94" s="1308"/>
      <c r="F94" s="575">
        <v>42735</v>
      </c>
      <c r="G94" s="575">
        <v>43830</v>
      </c>
      <c r="H94" s="1308"/>
    </row>
    <row r="95" spans="2:8">
      <c r="B95" s="375">
        <v>91</v>
      </c>
      <c r="C95" s="574" t="s">
        <v>1174</v>
      </c>
      <c r="D95" s="1308"/>
      <c r="E95" s="1308"/>
      <c r="F95" s="575">
        <v>42735</v>
      </c>
      <c r="G95" s="575">
        <v>43830</v>
      </c>
      <c r="H95" s="1308"/>
    </row>
    <row r="96" spans="2:8">
      <c r="B96" s="375">
        <v>92</v>
      </c>
      <c r="C96" s="574" t="s">
        <v>1175</v>
      </c>
      <c r="D96" s="1308"/>
      <c r="E96" s="1308"/>
      <c r="F96" s="575">
        <v>42889</v>
      </c>
      <c r="G96" s="575">
        <v>43619</v>
      </c>
      <c r="H96" s="1308"/>
    </row>
    <row r="97" spans="2:8" ht="26.25">
      <c r="B97" s="375">
        <v>93</v>
      </c>
      <c r="C97" s="574" t="s">
        <v>1176</v>
      </c>
      <c r="D97" s="1308" t="s">
        <v>1177</v>
      </c>
      <c r="E97" s="1308"/>
      <c r="F97" s="575">
        <v>42979</v>
      </c>
      <c r="G97" s="575">
        <v>43709</v>
      </c>
      <c r="H97" s="1308">
        <v>772</v>
      </c>
    </row>
    <row r="98" spans="2:8">
      <c r="B98" s="375">
        <v>94</v>
      </c>
      <c r="C98" s="574" t="s">
        <v>1178</v>
      </c>
      <c r="D98" s="1308"/>
      <c r="E98" s="1308"/>
      <c r="F98" s="575">
        <v>43090</v>
      </c>
      <c r="G98" s="575">
        <v>43820</v>
      </c>
      <c r="H98" s="1308"/>
    </row>
    <row r="99" spans="2:8">
      <c r="B99" s="375">
        <v>95</v>
      </c>
      <c r="C99" s="574" t="s">
        <v>1163</v>
      </c>
      <c r="D99" s="1308"/>
      <c r="E99" s="1308"/>
      <c r="F99" s="575">
        <v>41814</v>
      </c>
      <c r="G99" s="575">
        <v>43640</v>
      </c>
      <c r="H99" s="1308"/>
    </row>
    <row r="100" spans="2:8">
      <c r="B100" s="375">
        <v>96</v>
      </c>
      <c r="C100" s="574" t="s">
        <v>1179</v>
      </c>
      <c r="D100" s="1308"/>
      <c r="E100" s="1308"/>
      <c r="F100" s="575">
        <v>42979</v>
      </c>
      <c r="G100" s="575">
        <v>43709</v>
      </c>
      <c r="H100" s="1308"/>
    </row>
    <row r="101" spans="2:8" ht="26.25">
      <c r="B101" s="375">
        <v>97</v>
      </c>
      <c r="C101" s="574" t="s">
        <v>1180</v>
      </c>
      <c r="D101" s="1309" t="s">
        <v>1181</v>
      </c>
      <c r="E101" s="1309"/>
      <c r="F101" s="575">
        <v>42960</v>
      </c>
      <c r="G101" s="575">
        <v>43690</v>
      </c>
      <c r="H101" s="1308">
        <v>870</v>
      </c>
    </row>
    <row r="102" spans="2:8">
      <c r="B102" s="375">
        <v>98</v>
      </c>
      <c r="C102" s="574" t="s">
        <v>1182</v>
      </c>
      <c r="D102" s="1309"/>
      <c r="E102" s="1309"/>
      <c r="F102" s="575">
        <v>43208</v>
      </c>
      <c r="G102" s="575">
        <v>43573</v>
      </c>
      <c r="H102" s="1308"/>
    </row>
    <row r="103" spans="2:8">
      <c r="B103" s="375">
        <v>99</v>
      </c>
      <c r="C103" s="574" t="s">
        <v>1183</v>
      </c>
      <c r="D103" s="1309"/>
      <c r="E103" s="1309"/>
      <c r="F103" s="575">
        <v>42193</v>
      </c>
      <c r="G103" s="575">
        <v>43654</v>
      </c>
      <c r="H103" s="1308"/>
    </row>
    <row r="104" spans="2:8">
      <c r="B104" s="375">
        <v>100</v>
      </c>
      <c r="C104" s="574" t="s">
        <v>1184</v>
      </c>
      <c r="D104" s="1309"/>
      <c r="E104" s="1309"/>
      <c r="F104" s="575">
        <v>42193</v>
      </c>
      <c r="G104" s="575">
        <v>43654</v>
      </c>
      <c r="H104" s="1308"/>
    </row>
    <row r="105" spans="2:8">
      <c r="B105" s="375">
        <v>101</v>
      </c>
      <c r="C105" s="574" t="s">
        <v>1185</v>
      </c>
      <c r="D105" s="1309"/>
      <c r="E105" s="1309"/>
      <c r="F105" s="575">
        <v>42595</v>
      </c>
      <c r="G105" s="575">
        <v>43690</v>
      </c>
      <c r="H105" s="1308"/>
    </row>
    <row r="106" spans="2:8">
      <c r="B106" s="375">
        <v>102</v>
      </c>
      <c r="C106" s="574" t="s">
        <v>1186</v>
      </c>
      <c r="D106" s="1309"/>
      <c r="E106" s="1309"/>
      <c r="F106" s="575">
        <v>43208</v>
      </c>
      <c r="G106" s="575">
        <v>43573</v>
      </c>
      <c r="H106" s="1308"/>
    </row>
    <row r="107" spans="2:8" ht="15">
      <c r="B107" s="578"/>
      <c r="C107" s="578" t="s">
        <v>450</v>
      </c>
      <c r="D107" s="1304"/>
      <c r="E107" s="1305"/>
      <c r="F107" s="1304"/>
      <c r="G107" s="1305"/>
      <c r="H107" s="579">
        <f>SUM(H5:H106)</f>
        <v>13422</v>
      </c>
    </row>
    <row r="109" spans="2:8" ht="15" customHeight="1">
      <c r="B109" s="1306" t="s">
        <v>1187</v>
      </c>
      <c r="C109" s="1306"/>
      <c r="D109" s="1306"/>
      <c r="E109" s="1306"/>
      <c r="F109" s="1306"/>
      <c r="G109" s="1306"/>
      <c r="H109" s="1306"/>
    </row>
    <row r="110" spans="2:8">
      <c r="B110" s="1306"/>
      <c r="C110" s="1306"/>
      <c r="D110" s="1306"/>
      <c r="E110" s="1306"/>
      <c r="F110" s="1306"/>
      <c r="G110" s="1306"/>
      <c r="H110" s="1306"/>
    </row>
    <row r="111" spans="2:8">
      <c r="B111" s="1306"/>
      <c r="C111" s="1306"/>
      <c r="D111" s="1306"/>
      <c r="E111" s="1306"/>
      <c r="F111" s="1306"/>
      <c r="G111" s="1306"/>
      <c r="H111" s="1306"/>
    </row>
    <row r="112" spans="2:8" ht="14.25" customHeight="1">
      <c r="B112" s="1306"/>
      <c r="C112" s="1306"/>
      <c r="D112" s="1306"/>
      <c r="E112" s="1306"/>
      <c r="F112" s="1306"/>
      <c r="G112" s="1306"/>
      <c r="H112" s="1306"/>
    </row>
    <row r="113" spans="2:8" hidden="1">
      <c r="B113" s="1306"/>
      <c r="C113" s="1306"/>
      <c r="D113" s="1306"/>
      <c r="E113" s="1306"/>
      <c r="F113" s="1306"/>
      <c r="G113" s="1306"/>
      <c r="H113" s="1306"/>
    </row>
    <row r="114" spans="2:8" ht="15">
      <c r="B114" s="580"/>
      <c r="C114" s="580"/>
      <c r="D114" s="580"/>
      <c r="E114" s="580"/>
      <c r="F114" s="580"/>
      <c r="G114" s="580"/>
      <c r="H114" s="580"/>
    </row>
    <row r="115" spans="2:8" ht="15">
      <c r="B115" s="580"/>
      <c r="C115" s="1307" t="s">
        <v>1188</v>
      </c>
      <c r="D115" s="1307"/>
      <c r="E115" s="1307"/>
      <c r="F115" s="1307"/>
      <c r="G115" s="1307"/>
      <c r="H115" s="1307"/>
    </row>
  </sheetData>
  <mergeCells count="47">
    <mergeCell ref="D17:E20"/>
    <mergeCell ref="H17:H20"/>
    <mergeCell ref="B1:H1"/>
    <mergeCell ref="B3:B4"/>
    <mergeCell ref="C3:C4"/>
    <mergeCell ref="D3:E4"/>
    <mergeCell ref="F3:G3"/>
    <mergeCell ref="H3:H4"/>
    <mergeCell ref="D5:E11"/>
    <mergeCell ref="H5:H11"/>
    <mergeCell ref="D12:E12"/>
    <mergeCell ref="D13:E16"/>
    <mergeCell ref="H13:H16"/>
    <mergeCell ref="D21:E27"/>
    <mergeCell ref="H21:H27"/>
    <mergeCell ref="D28:E28"/>
    <mergeCell ref="D29:E29"/>
    <mergeCell ref="D30:E33"/>
    <mergeCell ref="H30:H33"/>
    <mergeCell ref="D34:E39"/>
    <mergeCell ref="H34:H39"/>
    <mergeCell ref="D40:E44"/>
    <mergeCell ref="H40:H44"/>
    <mergeCell ref="D45:E51"/>
    <mergeCell ref="H45:H51"/>
    <mergeCell ref="D52:E56"/>
    <mergeCell ref="H52:H56"/>
    <mergeCell ref="D57:E61"/>
    <mergeCell ref="H57:H61"/>
    <mergeCell ref="D62:E68"/>
    <mergeCell ref="H62:H68"/>
    <mergeCell ref="D69:E72"/>
    <mergeCell ref="H69:H72"/>
    <mergeCell ref="D73:E77"/>
    <mergeCell ref="H73:H77"/>
    <mergeCell ref="D78:E88"/>
    <mergeCell ref="H78:H88"/>
    <mergeCell ref="D107:E107"/>
    <mergeCell ref="F107:G107"/>
    <mergeCell ref="B109:H113"/>
    <mergeCell ref="C115:H115"/>
    <mergeCell ref="D89:E96"/>
    <mergeCell ref="H89:H96"/>
    <mergeCell ref="D97:E100"/>
    <mergeCell ref="H97:H100"/>
    <mergeCell ref="D101:E106"/>
    <mergeCell ref="H101:H10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E14"/>
  <sheetViews>
    <sheetView workbookViewId="0">
      <selection activeCell="A4" sqref="A4"/>
    </sheetView>
  </sheetViews>
  <sheetFormatPr defaultRowHeight="14.25"/>
  <cols>
    <col min="1" max="1" width="27" customWidth="1"/>
    <col min="4" max="4" width="12.140625" customWidth="1"/>
    <col min="5" max="5" width="10.42578125" bestFit="1" customWidth="1"/>
  </cols>
  <sheetData>
    <row r="3" spans="1:5">
      <c r="A3" s="1328" t="s">
        <v>946</v>
      </c>
      <c r="B3" s="1328"/>
      <c r="C3" s="1328"/>
      <c r="D3" s="1328"/>
      <c r="E3" s="1328"/>
    </row>
    <row r="4" spans="1:5" ht="25.5">
      <c r="A4" s="383" t="s">
        <v>398</v>
      </c>
      <c r="B4" s="383" t="s">
        <v>327</v>
      </c>
      <c r="C4" s="383"/>
      <c r="D4" s="383"/>
      <c r="E4" s="383"/>
    </row>
    <row r="5" spans="1:5" ht="15">
      <c r="A5" s="376" t="s">
        <v>276</v>
      </c>
      <c r="B5" s="377">
        <v>1200</v>
      </c>
      <c r="C5" s="377">
        <v>88</v>
      </c>
      <c r="D5" s="378">
        <v>66</v>
      </c>
      <c r="E5" s="379">
        <v>1255</v>
      </c>
    </row>
    <row r="6" spans="1:5" ht="15">
      <c r="A6" s="376" t="s">
        <v>277</v>
      </c>
      <c r="B6" s="377">
        <v>1000</v>
      </c>
      <c r="C6" s="377">
        <v>88</v>
      </c>
      <c r="D6" s="378">
        <v>55</v>
      </c>
      <c r="E6" s="379">
        <v>1055</v>
      </c>
    </row>
    <row r="7" spans="1:5" ht="15">
      <c r="A7" s="376" t="s">
        <v>278</v>
      </c>
      <c r="B7" s="377">
        <v>1000</v>
      </c>
      <c r="C7" s="377">
        <v>88</v>
      </c>
      <c r="D7" s="378">
        <v>45</v>
      </c>
      <c r="E7" s="379">
        <v>1045</v>
      </c>
    </row>
    <row r="8" spans="1:5" ht="25.5">
      <c r="A8" s="376" t="s">
        <v>279</v>
      </c>
      <c r="B8" s="377">
        <v>500</v>
      </c>
      <c r="C8" s="377">
        <v>88</v>
      </c>
      <c r="D8" s="378">
        <v>27.5</v>
      </c>
      <c r="E8" s="379">
        <v>555</v>
      </c>
    </row>
    <row r="9" spans="1:5" ht="15">
      <c r="A9" s="376" t="s">
        <v>280</v>
      </c>
      <c r="B9" s="377">
        <v>200</v>
      </c>
      <c r="C9" s="377">
        <v>55</v>
      </c>
      <c r="D9" s="378">
        <v>11</v>
      </c>
      <c r="E9" s="379">
        <v>255</v>
      </c>
    </row>
    <row r="10" spans="1:5" ht="15">
      <c r="A10" s="376" t="s">
        <v>281</v>
      </c>
      <c r="B10" s="377">
        <v>500</v>
      </c>
      <c r="C10" s="377">
        <v>750</v>
      </c>
      <c r="D10" s="378">
        <v>375</v>
      </c>
      <c r="E10" s="379">
        <v>1250</v>
      </c>
    </row>
    <row r="11" spans="1:5" ht="15">
      <c r="A11" s="376" t="s">
        <v>282</v>
      </c>
      <c r="B11" s="377">
        <v>500</v>
      </c>
      <c r="C11" s="377">
        <v>450</v>
      </c>
      <c r="D11" s="378">
        <v>225</v>
      </c>
      <c r="E11" s="379">
        <v>950</v>
      </c>
    </row>
    <row r="12" spans="1:5" ht="15">
      <c r="A12" s="376" t="s">
        <v>283</v>
      </c>
      <c r="B12" s="377">
        <v>300</v>
      </c>
      <c r="C12" s="377">
        <v>350</v>
      </c>
      <c r="D12" s="378">
        <v>105</v>
      </c>
      <c r="E12" s="379">
        <v>650</v>
      </c>
    </row>
    <row r="13" spans="1:5" ht="127.5">
      <c r="A13" s="376" t="s">
        <v>945</v>
      </c>
      <c r="B13" s="377"/>
      <c r="C13" s="377"/>
      <c r="D13" s="378"/>
      <c r="E13" s="380">
        <v>32670</v>
      </c>
    </row>
    <row r="14" spans="1:5" ht="15">
      <c r="A14" s="381" t="s">
        <v>284</v>
      </c>
      <c r="B14" s="382"/>
      <c r="C14" s="382"/>
      <c r="D14" s="382"/>
      <c r="E14" s="384">
        <v>47974.9</v>
      </c>
    </row>
  </sheetData>
  <mergeCells count="1">
    <mergeCell ref="A3:E3"/>
  </mergeCell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0" workbookViewId="0">
      <selection activeCell="F35" sqref="F35"/>
    </sheetView>
  </sheetViews>
  <sheetFormatPr defaultRowHeight="13.5"/>
  <cols>
    <col min="1" max="1" width="4.140625" style="32" customWidth="1"/>
    <col min="2" max="2" width="24.85546875" style="32" customWidth="1"/>
    <col min="3" max="3" width="27.42578125" style="32" customWidth="1"/>
    <col min="4" max="4" width="5.42578125" style="208" customWidth="1"/>
    <col min="5" max="6" width="13.7109375" style="32" customWidth="1"/>
    <col min="7" max="16384" width="9.140625" style="32"/>
  </cols>
  <sheetData>
    <row r="1" spans="1:6">
      <c r="A1" s="101"/>
      <c r="B1" s="102" t="s">
        <v>285</v>
      </c>
      <c r="C1" s="102"/>
      <c r="D1" s="206"/>
      <c r="E1" s="101"/>
      <c r="F1" s="101"/>
    </row>
    <row r="2" spans="1:6" ht="40.5">
      <c r="A2" s="103" t="s">
        <v>1</v>
      </c>
      <c r="B2" s="103" t="s">
        <v>286</v>
      </c>
      <c r="C2" s="103" t="s">
        <v>3</v>
      </c>
      <c r="D2" s="103" t="s">
        <v>287</v>
      </c>
      <c r="E2" s="103" t="s">
        <v>166</v>
      </c>
      <c r="F2" s="103" t="s">
        <v>179</v>
      </c>
    </row>
    <row r="3" spans="1:6" ht="27">
      <c r="A3" s="104">
        <v>1</v>
      </c>
      <c r="B3" s="105" t="s">
        <v>288</v>
      </c>
      <c r="C3" s="106" t="s">
        <v>289</v>
      </c>
      <c r="D3" s="107">
        <v>1</v>
      </c>
      <c r="E3" s="108">
        <v>350000</v>
      </c>
      <c r="F3" s="109">
        <f t="shared" ref="F3:F16" si="0">+E3*D3</f>
        <v>350000</v>
      </c>
    </row>
    <row r="4" spans="1:6" ht="40.5">
      <c r="A4" s="104">
        <v>2</v>
      </c>
      <c r="B4" s="105" t="s">
        <v>290</v>
      </c>
      <c r="C4" s="106" t="s">
        <v>291</v>
      </c>
      <c r="D4" s="107">
        <v>1</v>
      </c>
      <c r="E4" s="108">
        <v>160000</v>
      </c>
      <c r="F4" s="109">
        <f t="shared" si="0"/>
        <v>160000</v>
      </c>
    </row>
    <row r="5" spans="1:6">
      <c r="A5" s="104">
        <v>3</v>
      </c>
      <c r="B5" s="105" t="s">
        <v>292</v>
      </c>
      <c r="C5" s="107" t="s">
        <v>293</v>
      </c>
      <c r="D5" s="107">
        <v>1</v>
      </c>
      <c r="E5" s="108">
        <v>150000</v>
      </c>
      <c r="F5" s="109">
        <f t="shared" si="0"/>
        <v>150000</v>
      </c>
    </row>
    <row r="6" spans="1:6" ht="27">
      <c r="A6" s="104">
        <v>4</v>
      </c>
      <c r="B6" s="105" t="s">
        <v>294</v>
      </c>
      <c r="C6" s="104" t="s">
        <v>295</v>
      </c>
      <c r="D6" s="107">
        <v>2</v>
      </c>
      <c r="E6" s="108">
        <v>950000</v>
      </c>
      <c r="F6" s="109">
        <f t="shared" si="0"/>
        <v>1900000</v>
      </c>
    </row>
    <row r="7" spans="1:6" ht="54">
      <c r="A7" s="104">
        <v>6</v>
      </c>
      <c r="B7" s="110" t="s">
        <v>296</v>
      </c>
      <c r="C7" s="111" t="s">
        <v>293</v>
      </c>
      <c r="D7" s="111">
        <v>2</v>
      </c>
      <c r="E7" s="112">
        <v>1300000</v>
      </c>
      <c r="F7" s="113">
        <f t="shared" si="0"/>
        <v>2600000</v>
      </c>
    </row>
    <row r="8" spans="1:6">
      <c r="A8" s="104">
        <v>7</v>
      </c>
      <c r="B8" s="110" t="s">
        <v>297</v>
      </c>
      <c r="C8" s="111" t="s">
        <v>293</v>
      </c>
      <c r="D8" s="111">
        <v>2</v>
      </c>
      <c r="E8" s="112">
        <v>95000</v>
      </c>
      <c r="F8" s="113">
        <f t="shared" si="0"/>
        <v>190000</v>
      </c>
    </row>
    <row r="9" spans="1:6">
      <c r="A9" s="104">
        <v>8</v>
      </c>
      <c r="B9" s="114" t="s">
        <v>298</v>
      </c>
      <c r="C9" s="115" t="s">
        <v>293</v>
      </c>
      <c r="D9" s="115">
        <v>1</v>
      </c>
      <c r="E9" s="116">
        <v>244000</v>
      </c>
      <c r="F9" s="117">
        <f t="shared" si="0"/>
        <v>244000</v>
      </c>
    </row>
    <row r="10" spans="1:6">
      <c r="A10" s="104">
        <v>9</v>
      </c>
      <c r="B10" s="118" t="s">
        <v>299</v>
      </c>
      <c r="C10" s="115" t="s">
        <v>293</v>
      </c>
      <c r="D10" s="115">
        <v>1</v>
      </c>
      <c r="E10" s="116">
        <v>1000000</v>
      </c>
      <c r="F10" s="117">
        <f t="shared" si="0"/>
        <v>1000000</v>
      </c>
    </row>
    <row r="11" spans="1:6">
      <c r="A11" s="104">
        <v>10</v>
      </c>
      <c r="B11" s="118" t="s">
        <v>300</v>
      </c>
      <c r="C11" s="115" t="s">
        <v>293</v>
      </c>
      <c r="D11" s="115">
        <v>1</v>
      </c>
      <c r="E11" s="116">
        <v>200000</v>
      </c>
      <c r="F11" s="117">
        <f t="shared" si="0"/>
        <v>200000</v>
      </c>
    </row>
    <row r="12" spans="1:6">
      <c r="A12" s="104">
        <v>11</v>
      </c>
      <c r="B12" s="118" t="s">
        <v>301</v>
      </c>
      <c r="C12" s="115" t="s">
        <v>293</v>
      </c>
      <c r="D12" s="115">
        <v>1</v>
      </c>
      <c r="E12" s="116">
        <v>150000</v>
      </c>
      <c r="F12" s="117">
        <f t="shared" si="0"/>
        <v>150000</v>
      </c>
    </row>
    <row r="13" spans="1:6">
      <c r="A13" s="104">
        <v>12</v>
      </c>
      <c r="B13" s="118" t="s">
        <v>302</v>
      </c>
      <c r="C13" s="115" t="s">
        <v>293</v>
      </c>
      <c r="D13" s="115">
        <v>1</v>
      </c>
      <c r="E13" s="116">
        <v>150000</v>
      </c>
      <c r="F13" s="117">
        <f t="shared" si="0"/>
        <v>150000</v>
      </c>
    </row>
    <row r="14" spans="1:6">
      <c r="A14" s="104">
        <v>13</v>
      </c>
      <c r="B14" s="118" t="s">
        <v>303</v>
      </c>
      <c r="C14" s="115" t="s">
        <v>293</v>
      </c>
      <c r="D14" s="115">
        <v>1</v>
      </c>
      <c r="E14" s="116">
        <v>300000</v>
      </c>
      <c r="F14" s="117">
        <f t="shared" si="0"/>
        <v>300000</v>
      </c>
    </row>
    <row r="15" spans="1:6">
      <c r="A15" s="104">
        <v>14</v>
      </c>
      <c r="B15" s="118" t="s">
        <v>304</v>
      </c>
      <c r="C15" s="115" t="s">
        <v>293</v>
      </c>
      <c r="D15" s="115">
        <v>1</v>
      </c>
      <c r="E15" s="116">
        <v>45000</v>
      </c>
      <c r="F15" s="117">
        <f t="shared" si="0"/>
        <v>45000</v>
      </c>
    </row>
    <row r="16" spans="1:6">
      <c r="A16" s="104">
        <v>15</v>
      </c>
      <c r="B16" s="118" t="s">
        <v>305</v>
      </c>
      <c r="C16" s="115" t="s">
        <v>293</v>
      </c>
      <c r="D16" s="115">
        <v>1</v>
      </c>
      <c r="E16" s="116">
        <v>1500000</v>
      </c>
      <c r="F16" s="117">
        <f t="shared" si="0"/>
        <v>1500000</v>
      </c>
    </row>
    <row r="17" spans="1:6">
      <c r="A17" s="1329" t="s">
        <v>174</v>
      </c>
      <c r="B17" s="1330"/>
      <c r="C17" s="111"/>
      <c r="D17" s="111"/>
      <c r="E17" s="119"/>
      <c r="F17" s="120">
        <f>SUM(F3:F16)</f>
        <v>8939000</v>
      </c>
    </row>
    <row r="20" spans="1:6" ht="40.5" customHeight="1">
      <c r="A20" s="1331" t="s">
        <v>812</v>
      </c>
      <c r="B20" s="1332"/>
      <c r="C20" s="1332"/>
      <c r="D20" s="1332"/>
      <c r="E20" s="1332"/>
      <c r="F20" s="1332"/>
    </row>
    <row r="21" spans="1:6" ht="40.5">
      <c r="A21" s="121" t="s">
        <v>1</v>
      </c>
      <c r="B21" s="121" t="s">
        <v>338</v>
      </c>
      <c r="C21" s="103" t="s">
        <v>403</v>
      </c>
      <c r="D21" s="121" t="s">
        <v>315</v>
      </c>
      <c r="E21" s="121" t="s">
        <v>166</v>
      </c>
      <c r="F21" s="121" t="s">
        <v>179</v>
      </c>
    </row>
    <row r="22" spans="1:6">
      <c r="A22" s="122">
        <v>1</v>
      </c>
      <c r="B22" s="123" t="s">
        <v>544</v>
      </c>
      <c r="C22" s="124" t="s">
        <v>545</v>
      </c>
      <c r="D22" s="125">
        <v>10</v>
      </c>
      <c r="E22" s="126">
        <v>5000</v>
      </c>
      <c r="F22" s="126">
        <f>D22*E22</f>
        <v>50000</v>
      </c>
    </row>
    <row r="23" spans="1:6">
      <c r="A23" s="122">
        <v>2</v>
      </c>
      <c r="B23" s="122" t="s">
        <v>546</v>
      </c>
      <c r="C23" s="124" t="s">
        <v>545</v>
      </c>
      <c r="D23" s="125">
        <v>5</v>
      </c>
      <c r="E23" s="126">
        <v>110000</v>
      </c>
      <c r="F23" s="126">
        <f t="shared" ref="F23:F32" si="1">D23*E23</f>
        <v>550000</v>
      </c>
    </row>
    <row r="24" spans="1:6">
      <c r="A24" s="122">
        <v>3</v>
      </c>
      <c r="B24" s="123" t="s">
        <v>547</v>
      </c>
      <c r="C24" s="124" t="s">
        <v>545</v>
      </c>
      <c r="D24" s="125">
        <v>5</v>
      </c>
      <c r="E24" s="126">
        <v>38000</v>
      </c>
      <c r="F24" s="126">
        <f t="shared" si="1"/>
        <v>190000</v>
      </c>
    </row>
    <row r="25" spans="1:6">
      <c r="A25" s="122">
        <v>4</v>
      </c>
      <c r="B25" s="122" t="s">
        <v>548</v>
      </c>
      <c r="C25" s="124" t="s">
        <v>545</v>
      </c>
      <c r="D25" s="125">
        <v>5</v>
      </c>
      <c r="E25" s="126">
        <v>20000</v>
      </c>
      <c r="F25" s="126">
        <f t="shared" si="1"/>
        <v>100000</v>
      </c>
    </row>
    <row r="26" spans="1:6">
      <c r="A26" s="122">
        <v>5</v>
      </c>
      <c r="B26" s="122" t="s">
        <v>549</v>
      </c>
      <c r="C26" s="124" t="s">
        <v>545</v>
      </c>
      <c r="D26" s="125">
        <v>5</v>
      </c>
      <c r="E26" s="126">
        <v>12000</v>
      </c>
      <c r="F26" s="126">
        <f t="shared" si="1"/>
        <v>60000</v>
      </c>
    </row>
    <row r="27" spans="1:6">
      <c r="A27" s="122">
        <v>6</v>
      </c>
      <c r="B27" s="123" t="s">
        <v>550</v>
      </c>
      <c r="C27" s="124" t="s">
        <v>545</v>
      </c>
      <c r="D27" s="125">
        <v>2</v>
      </c>
      <c r="E27" s="126">
        <v>58000</v>
      </c>
      <c r="F27" s="126">
        <f t="shared" si="1"/>
        <v>116000</v>
      </c>
    </row>
    <row r="28" spans="1:6">
      <c r="A28" s="122">
        <v>7</v>
      </c>
      <c r="B28" s="122" t="s">
        <v>551</v>
      </c>
      <c r="C28" s="124" t="s">
        <v>545</v>
      </c>
      <c r="D28" s="125">
        <v>5</v>
      </c>
      <c r="E28" s="126">
        <v>18000</v>
      </c>
      <c r="F28" s="126">
        <f t="shared" si="1"/>
        <v>90000</v>
      </c>
    </row>
    <row r="29" spans="1:6">
      <c r="A29" s="122">
        <v>8</v>
      </c>
      <c r="B29" s="122" t="s">
        <v>552</v>
      </c>
      <c r="C29" s="124" t="s">
        <v>545</v>
      </c>
      <c r="D29" s="125">
        <v>8</v>
      </c>
      <c r="E29" s="126">
        <v>1000000</v>
      </c>
      <c r="F29" s="126">
        <f t="shared" si="1"/>
        <v>8000000</v>
      </c>
    </row>
    <row r="30" spans="1:6">
      <c r="A30" s="122">
        <v>9</v>
      </c>
      <c r="B30" s="122" t="s">
        <v>553</v>
      </c>
      <c r="C30" s="124" t="s">
        <v>545</v>
      </c>
      <c r="D30" s="125">
        <v>2</v>
      </c>
      <c r="E30" s="126">
        <v>25000</v>
      </c>
      <c r="F30" s="126">
        <f t="shared" si="1"/>
        <v>50000</v>
      </c>
    </row>
    <row r="31" spans="1:6">
      <c r="A31" s="122">
        <v>10</v>
      </c>
      <c r="B31" s="124" t="s">
        <v>554</v>
      </c>
      <c r="C31" s="124" t="s">
        <v>545</v>
      </c>
      <c r="D31" s="125">
        <v>10</v>
      </c>
      <c r="E31" s="126">
        <v>60000</v>
      </c>
      <c r="F31" s="126">
        <f t="shared" si="1"/>
        <v>600000</v>
      </c>
    </row>
    <row r="32" spans="1:6" ht="40.5">
      <c r="A32" s="124">
        <v>11</v>
      </c>
      <c r="B32" s="127" t="s">
        <v>555</v>
      </c>
      <c r="C32" s="124" t="s">
        <v>545</v>
      </c>
      <c r="D32" s="207">
        <v>20</v>
      </c>
      <c r="E32" s="128">
        <v>300000</v>
      </c>
      <c r="F32" s="128">
        <f t="shared" si="1"/>
        <v>6000000</v>
      </c>
    </row>
    <row r="33" spans="1:6">
      <c r="A33" s="129"/>
      <c r="B33" s="129" t="s">
        <v>556</v>
      </c>
      <c r="C33" s="129"/>
      <c r="D33" s="203"/>
      <c r="E33" s="130"/>
      <c r="F33" s="130">
        <f>SUM(F22:F32)</f>
        <v>15806000</v>
      </c>
    </row>
    <row r="35" spans="1:6">
      <c r="F35" s="131"/>
    </row>
    <row r="37" spans="1:6" ht="15.75" customHeight="1"/>
  </sheetData>
  <mergeCells count="2">
    <mergeCell ref="A17:B17"/>
    <mergeCell ref="A20:F20"/>
  </mergeCell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workbookViewId="0">
      <selection activeCell="J17" sqref="J17"/>
    </sheetView>
  </sheetViews>
  <sheetFormatPr defaultColWidth="14" defaultRowHeight="12.75"/>
  <cols>
    <col min="1" max="1" width="3" style="209" bestFit="1" customWidth="1"/>
    <col min="2" max="2" width="29.7109375" style="205" customWidth="1"/>
    <col min="3" max="3" width="9.42578125" style="211" customWidth="1"/>
    <col min="4" max="4" width="14" style="205"/>
    <col min="5" max="5" width="13" style="205" customWidth="1"/>
    <col min="6" max="6" width="33.85546875" style="205" customWidth="1"/>
    <col min="7" max="16384" width="14" style="205"/>
  </cols>
  <sheetData>
    <row r="2" spans="1:6">
      <c r="B2" s="210" t="s">
        <v>810</v>
      </c>
    </row>
    <row r="4" spans="1:6">
      <c r="A4" s="1333" t="s">
        <v>306</v>
      </c>
      <c r="B4" s="1333"/>
      <c r="C4" s="1333"/>
      <c r="D4" s="1333"/>
      <c r="E4" s="1333"/>
      <c r="F4" s="1333"/>
    </row>
    <row r="5" spans="1:6" ht="25.5">
      <c r="A5" s="30" t="s">
        <v>1</v>
      </c>
      <c r="B5" s="30" t="s">
        <v>286</v>
      </c>
      <c r="C5" s="30" t="s">
        <v>781</v>
      </c>
      <c r="D5" s="30" t="s">
        <v>166</v>
      </c>
      <c r="E5" s="30" t="s">
        <v>179</v>
      </c>
      <c r="F5" s="212" t="s">
        <v>3</v>
      </c>
    </row>
    <row r="6" spans="1:6" s="264" customFormat="1" ht="25.5">
      <c r="A6" s="255">
        <v>1</v>
      </c>
      <c r="B6" s="256" t="s">
        <v>307</v>
      </c>
      <c r="C6" s="257">
        <v>30</v>
      </c>
      <c r="D6" s="257">
        <v>332400</v>
      </c>
      <c r="E6" s="258">
        <f>+D6*C6</f>
        <v>9972000</v>
      </c>
      <c r="F6" s="259" t="s">
        <v>308</v>
      </c>
    </row>
    <row r="7" spans="1:6" s="264" customFormat="1" ht="25.5">
      <c r="A7" s="255">
        <v>2</v>
      </c>
      <c r="B7" s="256" t="s">
        <v>309</v>
      </c>
      <c r="C7" s="257">
        <v>30</v>
      </c>
      <c r="D7" s="257">
        <v>150000</v>
      </c>
      <c r="E7" s="258">
        <f t="shared" ref="E7:E9" si="0">+D7*C7</f>
        <v>4500000</v>
      </c>
      <c r="F7" s="259" t="s">
        <v>308</v>
      </c>
    </row>
    <row r="8" spans="1:6" s="264" customFormat="1" ht="25.5">
      <c r="A8" s="255">
        <v>3</v>
      </c>
      <c r="B8" s="256" t="s">
        <v>310</v>
      </c>
      <c r="C8" s="257">
        <v>6</v>
      </c>
      <c r="D8" s="257">
        <v>80000</v>
      </c>
      <c r="E8" s="258">
        <f t="shared" si="0"/>
        <v>480000</v>
      </c>
      <c r="F8" s="259" t="s">
        <v>311</v>
      </c>
    </row>
    <row r="9" spans="1:6" s="264" customFormat="1" ht="25.5">
      <c r="A9" s="255">
        <v>4</v>
      </c>
      <c r="B9" s="256" t="s">
        <v>312</v>
      </c>
      <c r="C9" s="257">
        <v>30</v>
      </c>
      <c r="D9" s="257">
        <v>142400</v>
      </c>
      <c r="E9" s="258">
        <f t="shared" si="0"/>
        <v>4272000</v>
      </c>
      <c r="F9" s="259" t="s">
        <v>308</v>
      </c>
    </row>
    <row r="10" spans="1:6" s="264" customFormat="1">
      <c r="A10" s="255"/>
      <c r="B10" s="260" t="s">
        <v>174</v>
      </c>
      <c r="C10" s="261"/>
      <c r="D10" s="261"/>
      <c r="E10" s="262">
        <f>SUM(E6:E9)</f>
        <v>19224000</v>
      </c>
      <c r="F10" s="263"/>
    </row>
    <row r="12" spans="1:6">
      <c r="A12" s="1337" t="s">
        <v>811</v>
      </c>
      <c r="B12" s="1337"/>
      <c r="C12" s="1337"/>
      <c r="D12" s="1337"/>
      <c r="E12" s="1337"/>
    </row>
    <row r="13" spans="1:6">
      <c r="A13" s="1338">
        <v>1</v>
      </c>
      <c r="B13" s="1339" t="s">
        <v>440</v>
      </c>
      <c r="C13" s="1340">
        <v>34</v>
      </c>
      <c r="D13" s="1341" t="s">
        <v>441</v>
      </c>
      <c r="E13" s="1342">
        <v>34000000</v>
      </c>
    </row>
    <row r="14" spans="1:6">
      <c r="A14" s="1338"/>
      <c r="B14" s="1339"/>
      <c r="C14" s="1340"/>
      <c r="D14" s="1341"/>
      <c r="E14" s="1342"/>
    </row>
    <row r="15" spans="1:6">
      <c r="A15" s="265">
        <v>2</v>
      </c>
      <c r="B15" s="266" t="s">
        <v>313</v>
      </c>
      <c r="C15" s="267">
        <v>350</v>
      </c>
      <c r="D15" s="268">
        <v>3500</v>
      </c>
      <c r="E15" s="269" t="s">
        <v>442</v>
      </c>
    </row>
    <row r="16" spans="1:6">
      <c r="A16" s="265">
        <v>3</v>
      </c>
      <c r="B16" s="266" t="s">
        <v>297</v>
      </c>
      <c r="C16" s="267">
        <v>2</v>
      </c>
      <c r="D16" s="268">
        <v>95000</v>
      </c>
      <c r="E16" s="269" t="s">
        <v>443</v>
      </c>
    </row>
    <row r="17" spans="1:5">
      <c r="A17" s="265">
        <v>4</v>
      </c>
      <c r="B17" s="266" t="s">
        <v>320</v>
      </c>
      <c r="C17" s="267">
        <v>600</v>
      </c>
      <c r="D17" s="268">
        <v>500</v>
      </c>
      <c r="E17" s="269" t="s">
        <v>444</v>
      </c>
    </row>
    <row r="18" spans="1:5">
      <c r="A18" s="265">
        <v>5</v>
      </c>
      <c r="B18" s="266" t="s">
        <v>321</v>
      </c>
      <c r="C18" s="267">
        <v>30</v>
      </c>
      <c r="D18" s="268">
        <v>2000</v>
      </c>
      <c r="E18" s="269" t="s">
        <v>445</v>
      </c>
    </row>
    <row r="19" spans="1:5">
      <c r="A19" s="265">
        <v>6</v>
      </c>
      <c r="B19" s="266" t="s">
        <v>446</v>
      </c>
      <c r="C19" s="267">
        <v>3</v>
      </c>
      <c r="D19" s="268">
        <v>3000</v>
      </c>
      <c r="E19" s="269" t="s">
        <v>447</v>
      </c>
    </row>
    <row r="20" spans="1:5" ht="25.5">
      <c r="A20" s="265">
        <v>7</v>
      </c>
      <c r="B20" s="266" t="s">
        <v>314</v>
      </c>
      <c r="C20" s="267">
        <v>1</v>
      </c>
      <c r="D20" s="268" t="s">
        <v>448</v>
      </c>
      <c r="E20" s="269" t="s">
        <v>448</v>
      </c>
    </row>
    <row r="21" spans="1:5">
      <c r="A21" s="265">
        <v>8</v>
      </c>
      <c r="B21" s="266" t="s">
        <v>449</v>
      </c>
      <c r="C21" s="267">
        <v>500</v>
      </c>
      <c r="D21" s="268">
        <v>1650</v>
      </c>
      <c r="E21" s="269">
        <v>825000</v>
      </c>
    </row>
    <row r="22" spans="1:5">
      <c r="A22" s="1334" t="s">
        <v>174</v>
      </c>
      <c r="B22" s="1335"/>
      <c r="C22" s="1336"/>
      <c r="D22" s="271"/>
      <c r="E22" s="270">
        <v>38109000</v>
      </c>
    </row>
  </sheetData>
  <mergeCells count="8">
    <mergeCell ref="A4:F4"/>
    <mergeCell ref="A22:C22"/>
    <mergeCell ref="A12:E12"/>
    <mergeCell ref="A13:A14"/>
    <mergeCell ref="B13:B14"/>
    <mergeCell ref="C13:C14"/>
    <mergeCell ref="D13:D14"/>
    <mergeCell ref="E13:E14"/>
  </mergeCells>
  <pageMargins left="0.70866141732283472" right="0.70866141732283472" top="0.74803149606299213" bottom="0.74803149606299213" header="0.31496062992125984" footer="0.31496062992125984"/>
  <pageSetup paperSize="9" scale="85"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F43" sqref="F43"/>
    </sheetView>
  </sheetViews>
  <sheetFormatPr defaultRowHeight="11.25"/>
  <cols>
    <col min="1" max="1" width="3.85546875" style="215" bestFit="1" customWidth="1"/>
    <col min="2" max="2" width="28.28515625" style="215" bestFit="1" customWidth="1"/>
    <col min="3" max="3" width="32" style="215" bestFit="1" customWidth="1"/>
    <col min="4" max="4" width="14.5703125" style="215" customWidth="1"/>
    <col min="5" max="5" width="9.140625" style="215" customWidth="1"/>
    <col min="6" max="6" width="14.28515625" style="215" customWidth="1"/>
    <col min="7" max="7" width="10.28515625" style="215" bestFit="1" customWidth="1"/>
    <col min="8" max="16384" width="9.140625" style="215"/>
  </cols>
  <sheetData>
    <row r="1" spans="1:7">
      <c r="A1" s="213"/>
      <c r="B1" s="214" t="s">
        <v>119</v>
      </c>
      <c r="C1" s="213"/>
      <c r="D1" s="213"/>
      <c r="E1" s="213"/>
      <c r="F1" s="213"/>
    </row>
    <row r="3" spans="1:7">
      <c r="A3" s="1343" t="s">
        <v>634</v>
      </c>
      <c r="B3" s="1344"/>
      <c r="C3" s="1344"/>
      <c r="D3" s="1344"/>
      <c r="E3" s="1344"/>
      <c r="F3" s="1344"/>
      <c r="G3" s="1345"/>
    </row>
    <row r="4" spans="1:7" ht="22.5">
      <c r="A4" s="218" t="s">
        <v>1</v>
      </c>
      <c r="B4" s="218" t="s">
        <v>635</v>
      </c>
      <c r="C4" s="218" t="s">
        <v>636</v>
      </c>
      <c r="D4" s="218" t="s">
        <v>403</v>
      </c>
      <c r="E4" s="218" t="s">
        <v>315</v>
      </c>
      <c r="F4" s="218" t="s">
        <v>637</v>
      </c>
      <c r="G4" s="218" t="s">
        <v>638</v>
      </c>
    </row>
    <row r="5" spans="1:7">
      <c r="A5" s="219">
        <v>2</v>
      </c>
      <c r="B5" s="219" t="s">
        <v>639</v>
      </c>
      <c r="C5" s="219" t="s">
        <v>640</v>
      </c>
      <c r="D5" s="219" t="s">
        <v>317</v>
      </c>
      <c r="E5" s="219">
        <v>3</v>
      </c>
      <c r="F5" s="219">
        <v>200000</v>
      </c>
      <c r="G5" s="219">
        <f t="shared" ref="G5:G16" si="0">F5*E5</f>
        <v>600000</v>
      </c>
    </row>
    <row r="6" spans="1:7">
      <c r="A6" s="219">
        <v>3</v>
      </c>
      <c r="B6" s="219" t="s">
        <v>318</v>
      </c>
      <c r="C6" s="219" t="s">
        <v>641</v>
      </c>
      <c r="D6" s="219" t="s">
        <v>319</v>
      </c>
      <c r="E6" s="219">
        <v>1</v>
      </c>
      <c r="F6" s="219">
        <v>50000</v>
      </c>
      <c r="G6" s="219">
        <f t="shared" si="0"/>
        <v>50000</v>
      </c>
    </row>
    <row r="7" spans="1:7">
      <c r="A7" s="219">
        <v>4</v>
      </c>
      <c r="B7" s="219" t="s">
        <v>642</v>
      </c>
      <c r="C7" s="219" t="s">
        <v>643</v>
      </c>
      <c r="D7" s="219" t="s">
        <v>319</v>
      </c>
      <c r="E7" s="219">
        <v>1</v>
      </c>
      <c r="F7" s="219">
        <v>160000</v>
      </c>
      <c r="G7" s="219">
        <f t="shared" si="0"/>
        <v>160000</v>
      </c>
    </row>
    <row r="8" spans="1:7">
      <c r="A8" s="219">
        <v>8</v>
      </c>
      <c r="B8" s="219" t="s">
        <v>644</v>
      </c>
      <c r="C8" s="219" t="s">
        <v>645</v>
      </c>
      <c r="D8" s="219" t="s">
        <v>317</v>
      </c>
      <c r="E8" s="219">
        <v>30</v>
      </c>
      <c r="F8" s="219">
        <v>2500</v>
      </c>
      <c r="G8" s="219">
        <f t="shared" si="0"/>
        <v>75000</v>
      </c>
    </row>
    <row r="9" spans="1:7">
      <c r="A9" s="219">
        <v>9</v>
      </c>
      <c r="B9" s="219" t="s">
        <v>646</v>
      </c>
      <c r="C9" s="219" t="s">
        <v>647</v>
      </c>
      <c r="D9" s="219" t="s">
        <v>317</v>
      </c>
      <c r="E9" s="219">
        <v>2</v>
      </c>
      <c r="F9" s="219">
        <v>5000</v>
      </c>
      <c r="G9" s="219">
        <f t="shared" si="0"/>
        <v>10000</v>
      </c>
    </row>
    <row r="10" spans="1:7">
      <c r="A10" s="219">
        <v>11</v>
      </c>
      <c r="B10" s="219" t="s">
        <v>648</v>
      </c>
      <c r="C10" s="219" t="s">
        <v>649</v>
      </c>
      <c r="D10" s="219" t="s">
        <v>317</v>
      </c>
      <c r="E10" s="219">
        <v>2</v>
      </c>
      <c r="F10" s="219">
        <v>3000</v>
      </c>
      <c r="G10" s="219">
        <f t="shared" si="0"/>
        <v>6000</v>
      </c>
    </row>
    <row r="11" spans="1:7">
      <c r="A11" s="219">
        <v>13</v>
      </c>
      <c r="B11" s="219" t="s">
        <v>650</v>
      </c>
      <c r="C11" s="219" t="s">
        <v>651</v>
      </c>
      <c r="D11" s="219" t="s">
        <v>317</v>
      </c>
      <c r="E11" s="219">
        <v>1</v>
      </c>
      <c r="F11" s="219">
        <v>300000</v>
      </c>
      <c r="G11" s="219">
        <f t="shared" si="0"/>
        <v>300000</v>
      </c>
    </row>
    <row r="12" spans="1:7">
      <c r="A12" s="219">
        <v>14</v>
      </c>
      <c r="B12" s="219" t="s">
        <v>652</v>
      </c>
      <c r="C12" s="219" t="s">
        <v>653</v>
      </c>
      <c r="D12" s="219" t="s">
        <v>317</v>
      </c>
      <c r="E12" s="219">
        <v>1</v>
      </c>
      <c r="F12" s="219">
        <v>15000</v>
      </c>
      <c r="G12" s="219">
        <f t="shared" si="0"/>
        <v>15000</v>
      </c>
    </row>
    <row r="13" spans="1:7">
      <c r="A13" s="219">
        <v>17</v>
      </c>
      <c r="B13" s="220" t="s">
        <v>654</v>
      </c>
      <c r="C13" s="219" t="s">
        <v>655</v>
      </c>
      <c r="D13" s="219" t="s">
        <v>317</v>
      </c>
      <c r="E13" s="219">
        <v>3</v>
      </c>
      <c r="F13" s="219">
        <v>350000</v>
      </c>
      <c r="G13" s="219">
        <f t="shared" si="0"/>
        <v>1050000</v>
      </c>
    </row>
    <row r="14" spans="1:7">
      <c r="A14" s="219">
        <v>19</v>
      </c>
      <c r="B14" s="219" t="s">
        <v>656</v>
      </c>
      <c r="C14" s="219" t="s">
        <v>657</v>
      </c>
      <c r="D14" s="219" t="s">
        <v>319</v>
      </c>
      <c r="E14" s="219">
        <v>1</v>
      </c>
      <c r="F14" s="219">
        <v>40000</v>
      </c>
      <c r="G14" s="219">
        <f t="shared" si="0"/>
        <v>40000</v>
      </c>
    </row>
    <row r="15" spans="1:7">
      <c r="A15" s="219">
        <v>20</v>
      </c>
      <c r="B15" s="219" t="s">
        <v>658</v>
      </c>
      <c r="C15" s="219" t="s">
        <v>659</v>
      </c>
      <c r="D15" s="219" t="s">
        <v>319</v>
      </c>
      <c r="E15" s="219">
        <v>1</v>
      </c>
      <c r="F15" s="219">
        <v>30000</v>
      </c>
      <c r="G15" s="219">
        <f t="shared" si="0"/>
        <v>30000</v>
      </c>
    </row>
    <row r="16" spans="1:7">
      <c r="A16" s="219">
        <v>21</v>
      </c>
      <c r="B16" s="219" t="s">
        <v>660</v>
      </c>
      <c r="C16" s="219" t="s">
        <v>661</v>
      </c>
      <c r="D16" s="219" t="s">
        <v>317</v>
      </c>
      <c r="E16" s="219">
        <v>1</v>
      </c>
      <c r="F16" s="219">
        <v>500000</v>
      </c>
      <c r="G16" s="219">
        <f t="shared" si="0"/>
        <v>500000</v>
      </c>
    </row>
    <row r="17" spans="1:7">
      <c r="A17" s="1346" t="s">
        <v>556</v>
      </c>
      <c r="B17" s="1346"/>
      <c r="C17" s="1346"/>
      <c r="D17" s="1346"/>
      <c r="E17" s="1346"/>
      <c r="F17" s="1346"/>
      <c r="G17" s="221">
        <f>SUM(G5:G16)</f>
        <v>2836000</v>
      </c>
    </row>
    <row r="18" spans="1:7">
      <c r="B18" s="222" t="s">
        <v>813</v>
      </c>
      <c r="E18" s="223"/>
      <c r="F18" s="223"/>
    </row>
    <row r="19" spans="1:7">
      <c r="F19" s="223"/>
    </row>
    <row r="20" spans="1:7" ht="22.5">
      <c r="A20" s="218" t="s">
        <v>1</v>
      </c>
      <c r="B20" s="218" t="s">
        <v>732</v>
      </c>
      <c r="C20" s="218" t="s">
        <v>733</v>
      </c>
      <c r="D20" s="218" t="s">
        <v>734</v>
      </c>
      <c r="E20" s="218" t="s">
        <v>735</v>
      </c>
      <c r="F20" s="218" t="s">
        <v>174</v>
      </c>
    </row>
    <row r="21" spans="1:7">
      <c r="A21" s="224">
        <v>1</v>
      </c>
      <c r="B21" s="224" t="s">
        <v>357</v>
      </c>
      <c r="C21" s="224" t="s">
        <v>736</v>
      </c>
      <c r="D21" s="225">
        <v>38000</v>
      </c>
      <c r="E21" s="224">
        <v>12</v>
      </c>
      <c r="F21" s="226">
        <f>+E21*D21</f>
        <v>456000</v>
      </c>
    </row>
    <row r="22" spans="1:7">
      <c r="A22" s="224">
        <v>2</v>
      </c>
      <c r="B22" s="224" t="s">
        <v>737</v>
      </c>
      <c r="C22" s="224" t="s">
        <v>738</v>
      </c>
      <c r="D22" s="224">
        <v>40000</v>
      </c>
      <c r="E22" s="224">
        <v>12</v>
      </c>
      <c r="F22" s="226">
        <f t="shared" ref="F22:F42" si="1">+E22*D22</f>
        <v>480000</v>
      </c>
    </row>
    <row r="23" spans="1:7">
      <c r="A23" s="224">
        <v>4</v>
      </c>
      <c r="B23" s="224" t="s">
        <v>739</v>
      </c>
      <c r="C23" s="224" t="s">
        <v>740</v>
      </c>
      <c r="D23" s="224">
        <v>50000</v>
      </c>
      <c r="E23" s="224">
        <v>12</v>
      </c>
      <c r="F23" s="226">
        <f t="shared" si="1"/>
        <v>600000</v>
      </c>
    </row>
    <row r="24" spans="1:7">
      <c r="A24" s="224">
        <v>5</v>
      </c>
      <c r="B24" s="224" t="s">
        <v>741</v>
      </c>
      <c r="C24" s="224" t="s">
        <v>742</v>
      </c>
      <c r="D24" s="224">
        <v>30000</v>
      </c>
      <c r="E24" s="224">
        <v>12</v>
      </c>
      <c r="F24" s="226">
        <f t="shared" si="1"/>
        <v>360000</v>
      </c>
    </row>
    <row r="25" spans="1:7">
      <c r="A25" s="224">
        <v>7</v>
      </c>
      <c r="B25" s="224" t="s">
        <v>743</v>
      </c>
      <c r="C25" s="224" t="s">
        <v>744</v>
      </c>
      <c r="D25" s="224">
        <v>38000</v>
      </c>
      <c r="E25" s="224">
        <v>12</v>
      </c>
      <c r="F25" s="226">
        <f t="shared" si="1"/>
        <v>456000</v>
      </c>
    </row>
    <row r="26" spans="1:7">
      <c r="A26" s="224">
        <v>9</v>
      </c>
      <c r="B26" s="224" t="s">
        <v>745</v>
      </c>
      <c r="C26" s="224" t="s">
        <v>746</v>
      </c>
      <c r="D26" s="224">
        <v>28900</v>
      </c>
      <c r="E26" s="224">
        <v>12</v>
      </c>
      <c r="F26" s="226">
        <f t="shared" si="1"/>
        <v>346800</v>
      </c>
    </row>
    <row r="27" spans="1:7">
      <c r="A27" s="224">
        <v>10</v>
      </c>
      <c r="B27" s="224" t="s">
        <v>747</v>
      </c>
      <c r="C27" s="224" t="s">
        <v>748</v>
      </c>
      <c r="D27" s="225">
        <v>44000</v>
      </c>
      <c r="E27" s="224">
        <v>12</v>
      </c>
      <c r="F27" s="226">
        <f t="shared" si="1"/>
        <v>528000</v>
      </c>
    </row>
    <row r="28" spans="1:7">
      <c r="A28" s="224">
        <v>11</v>
      </c>
      <c r="B28" s="224" t="s">
        <v>749</v>
      </c>
      <c r="C28" s="224" t="s">
        <v>736</v>
      </c>
      <c r="D28" s="225">
        <v>38000</v>
      </c>
      <c r="E28" s="224">
        <v>12</v>
      </c>
      <c r="F28" s="226">
        <f t="shared" si="1"/>
        <v>456000</v>
      </c>
    </row>
    <row r="29" spans="1:7">
      <c r="A29" s="224">
        <v>12</v>
      </c>
      <c r="B29" s="224" t="s">
        <v>359</v>
      </c>
      <c r="C29" s="224" t="s">
        <v>750</v>
      </c>
      <c r="D29" s="224">
        <v>58000</v>
      </c>
      <c r="E29" s="224">
        <v>12</v>
      </c>
      <c r="F29" s="226">
        <f t="shared" si="1"/>
        <v>696000</v>
      </c>
    </row>
    <row r="30" spans="1:7">
      <c r="A30" s="224">
        <v>13</v>
      </c>
      <c r="B30" s="224" t="s">
        <v>751</v>
      </c>
      <c r="C30" s="224" t="s">
        <v>752</v>
      </c>
      <c r="D30" s="224">
        <v>30000</v>
      </c>
      <c r="E30" s="224">
        <v>12</v>
      </c>
      <c r="F30" s="226">
        <f t="shared" si="1"/>
        <v>360000</v>
      </c>
    </row>
    <row r="31" spans="1:7">
      <c r="A31" s="224">
        <v>14</v>
      </c>
      <c r="B31" s="224" t="s">
        <v>361</v>
      </c>
      <c r="C31" s="224" t="s">
        <v>753</v>
      </c>
      <c r="D31" s="224">
        <v>27200</v>
      </c>
      <c r="E31" s="224">
        <v>12</v>
      </c>
      <c r="F31" s="226">
        <f t="shared" si="1"/>
        <v>326400</v>
      </c>
    </row>
    <row r="32" spans="1:7">
      <c r="A32" s="224">
        <v>16</v>
      </c>
      <c r="B32" s="224" t="s">
        <v>754</v>
      </c>
      <c r="C32" s="224" t="s">
        <v>755</v>
      </c>
      <c r="D32" s="225">
        <v>27500</v>
      </c>
      <c r="E32" s="224">
        <v>12</v>
      </c>
      <c r="F32" s="226">
        <f t="shared" si="1"/>
        <v>330000</v>
      </c>
    </row>
    <row r="33" spans="1:6">
      <c r="A33" s="224">
        <v>17</v>
      </c>
      <c r="B33" s="224" t="s">
        <v>741</v>
      </c>
      <c r="C33" s="224" t="s">
        <v>742</v>
      </c>
      <c r="D33" s="225">
        <v>44000</v>
      </c>
      <c r="E33" s="224">
        <v>12</v>
      </c>
      <c r="F33" s="226">
        <f t="shared" si="1"/>
        <v>528000</v>
      </c>
    </row>
    <row r="34" spans="1:6">
      <c r="A34" s="224">
        <v>18</v>
      </c>
      <c r="B34" s="224" t="s">
        <v>356</v>
      </c>
      <c r="C34" s="224" t="s">
        <v>756</v>
      </c>
      <c r="D34" s="225">
        <v>44000</v>
      </c>
      <c r="E34" s="224">
        <v>12</v>
      </c>
      <c r="F34" s="226">
        <f t="shared" si="1"/>
        <v>528000</v>
      </c>
    </row>
    <row r="35" spans="1:6">
      <c r="A35" s="224">
        <v>19</v>
      </c>
      <c r="B35" s="224" t="s">
        <v>741</v>
      </c>
      <c r="C35" s="224" t="s">
        <v>757</v>
      </c>
      <c r="D35" s="225">
        <v>44000</v>
      </c>
      <c r="E35" s="224">
        <v>12</v>
      </c>
      <c r="F35" s="226">
        <f t="shared" si="1"/>
        <v>528000</v>
      </c>
    </row>
    <row r="36" spans="1:6">
      <c r="A36" s="224">
        <v>20</v>
      </c>
      <c r="B36" s="224" t="s">
        <v>357</v>
      </c>
      <c r="C36" s="224" t="s">
        <v>758</v>
      </c>
      <c r="D36" s="225">
        <v>38000</v>
      </c>
      <c r="E36" s="224">
        <v>12</v>
      </c>
      <c r="F36" s="226">
        <f t="shared" si="1"/>
        <v>456000</v>
      </c>
    </row>
    <row r="37" spans="1:6">
      <c r="A37" s="224">
        <v>23</v>
      </c>
      <c r="B37" s="224" t="s">
        <v>357</v>
      </c>
      <c r="C37" s="224" t="s">
        <v>758</v>
      </c>
      <c r="D37" s="225">
        <v>38000</v>
      </c>
      <c r="E37" s="224">
        <v>12</v>
      </c>
      <c r="F37" s="226">
        <f t="shared" si="1"/>
        <v>456000</v>
      </c>
    </row>
    <row r="38" spans="1:6">
      <c r="A38" s="224">
        <v>27</v>
      </c>
      <c r="B38" s="224" t="s">
        <v>759</v>
      </c>
      <c r="C38" s="224" t="s">
        <v>760</v>
      </c>
      <c r="D38" s="224">
        <v>27200</v>
      </c>
      <c r="E38" s="224">
        <v>12</v>
      </c>
      <c r="F38" s="226">
        <f t="shared" si="1"/>
        <v>326400</v>
      </c>
    </row>
    <row r="39" spans="1:6">
      <c r="A39" s="224">
        <v>28</v>
      </c>
      <c r="B39" s="224" t="s">
        <v>357</v>
      </c>
      <c r="C39" s="224" t="s">
        <v>758</v>
      </c>
      <c r="D39" s="225">
        <v>38000</v>
      </c>
      <c r="E39" s="224">
        <v>14</v>
      </c>
      <c r="F39" s="226">
        <f t="shared" si="1"/>
        <v>532000</v>
      </c>
    </row>
    <row r="40" spans="1:6">
      <c r="A40" s="224">
        <v>29</v>
      </c>
      <c r="B40" s="224" t="s">
        <v>761</v>
      </c>
      <c r="C40" s="224">
        <v>1043</v>
      </c>
      <c r="D40" s="224">
        <v>47000</v>
      </c>
      <c r="E40" s="224">
        <v>13</v>
      </c>
      <c r="F40" s="226">
        <f t="shared" si="1"/>
        <v>611000</v>
      </c>
    </row>
    <row r="41" spans="1:6">
      <c r="A41" s="224"/>
      <c r="B41" s="224" t="s">
        <v>762</v>
      </c>
      <c r="C41" s="224" t="s">
        <v>763</v>
      </c>
      <c r="D41" s="224">
        <v>55000</v>
      </c>
      <c r="E41" s="224">
        <v>20</v>
      </c>
      <c r="F41" s="226">
        <f t="shared" si="1"/>
        <v>1100000</v>
      </c>
    </row>
    <row r="42" spans="1:6">
      <c r="A42" s="224">
        <v>30</v>
      </c>
      <c r="B42" s="224" t="s">
        <v>357</v>
      </c>
      <c r="C42" s="224" t="s">
        <v>758</v>
      </c>
      <c r="D42" s="225">
        <v>38000</v>
      </c>
      <c r="E42" s="224">
        <v>12</v>
      </c>
      <c r="F42" s="226">
        <f t="shared" si="1"/>
        <v>456000</v>
      </c>
    </row>
    <row r="43" spans="1:6">
      <c r="A43" s="1347" t="s">
        <v>174</v>
      </c>
      <c r="B43" s="1348"/>
      <c r="C43" s="1349"/>
      <c r="D43" s="224"/>
      <c r="E43" s="224"/>
      <c r="F43" s="227">
        <f>SUM(F21:F42)</f>
        <v>10916600</v>
      </c>
    </row>
    <row r="45" spans="1:6">
      <c r="F45" s="228">
        <f>+F43+G17</f>
        <v>13752600</v>
      </c>
    </row>
  </sheetData>
  <mergeCells count="3">
    <mergeCell ref="A3:G3"/>
    <mergeCell ref="A17:F17"/>
    <mergeCell ref="A43:C43"/>
  </mergeCells>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zoomScale="115" zoomScaleNormal="115" workbookViewId="0">
      <selection activeCell="A9" sqref="A9"/>
    </sheetView>
  </sheetViews>
  <sheetFormatPr defaultRowHeight="13.5"/>
  <cols>
    <col min="1" max="1" width="41.140625" style="32" bestFit="1" customWidth="1"/>
    <col min="2" max="3" width="9.140625" style="32"/>
    <col min="4" max="4" width="12.85546875" style="32" customWidth="1"/>
    <col min="5" max="5" width="11.28515625" style="32" bestFit="1" customWidth="1"/>
    <col min="6" max="16384" width="9.140625" style="32"/>
  </cols>
  <sheetData>
    <row r="1" spans="1:5">
      <c r="A1" s="68" t="s">
        <v>322</v>
      </c>
      <c r="B1" s="69"/>
      <c r="C1" s="33"/>
      <c r="D1" s="33"/>
      <c r="E1" s="33"/>
    </row>
    <row r="2" spans="1:5">
      <c r="A2" s="69" t="s">
        <v>323</v>
      </c>
      <c r="B2" s="69"/>
      <c r="C2" s="33"/>
      <c r="D2" s="33"/>
      <c r="E2" s="33"/>
    </row>
    <row r="3" spans="1:5">
      <c r="A3" s="69" t="s">
        <v>324</v>
      </c>
      <c r="B3" s="69"/>
      <c r="C3" s="33"/>
      <c r="D3" s="33"/>
      <c r="E3" s="33"/>
    </row>
    <row r="4" spans="1:5">
      <c r="A4" s="33" t="s">
        <v>284</v>
      </c>
      <c r="B4" s="33"/>
      <c r="C4" s="33"/>
      <c r="D4" s="33"/>
      <c r="E4" s="70">
        <v>490000</v>
      </c>
    </row>
  </sheetData>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17"/>
  <sheetViews>
    <sheetView workbookViewId="0">
      <selection activeCell="E10" sqref="E10"/>
    </sheetView>
  </sheetViews>
  <sheetFormatPr defaultRowHeight="15"/>
  <cols>
    <col min="1" max="1" width="5.7109375" style="591" customWidth="1"/>
    <col min="2" max="2" width="34.140625" style="593" customWidth="1"/>
    <col min="3" max="3" width="60.5703125" style="593" customWidth="1"/>
    <col min="4" max="4" width="12.42578125" style="593" customWidth="1"/>
    <col min="5" max="5" width="15.28515625" style="592" bestFit="1" customWidth="1"/>
    <col min="6" max="6" width="17.5703125" style="592" customWidth="1"/>
    <col min="7" max="16384" width="9.140625" style="591"/>
  </cols>
  <sheetData>
    <row r="2" spans="1:6" ht="15.75">
      <c r="B2" s="1372" t="s">
        <v>1193</v>
      </c>
      <c r="C2" s="1372"/>
      <c r="D2" s="1372"/>
      <c r="E2" s="1372"/>
    </row>
    <row r="4" spans="1:6" ht="15.75">
      <c r="A4" s="1373" t="s">
        <v>451</v>
      </c>
      <c r="B4" s="1373"/>
    </row>
    <row r="6" spans="1:6" ht="15.75">
      <c r="A6" s="594"/>
      <c r="B6" s="595" t="s">
        <v>1400</v>
      </c>
    </row>
    <row r="7" spans="1:6">
      <c r="B7" s="596"/>
      <c r="C7" s="596"/>
      <c r="D7" s="596"/>
      <c r="E7" s="597"/>
      <c r="F7" s="597"/>
    </row>
    <row r="8" spans="1:6" ht="31.5">
      <c r="A8" s="598" t="s">
        <v>1</v>
      </c>
      <c r="B8" s="598" t="s">
        <v>325</v>
      </c>
      <c r="C8" s="598" t="s">
        <v>326</v>
      </c>
      <c r="D8" s="598" t="s">
        <v>327</v>
      </c>
      <c r="E8" s="599" t="s">
        <v>166</v>
      </c>
      <c r="F8" s="599" t="s">
        <v>328</v>
      </c>
    </row>
    <row r="9" spans="1:6">
      <c r="A9" s="600">
        <v>1</v>
      </c>
      <c r="B9" s="600" t="s">
        <v>1401</v>
      </c>
      <c r="C9" s="600" t="s">
        <v>1402</v>
      </c>
      <c r="D9" s="600">
        <v>1</v>
      </c>
      <c r="E9" s="601">
        <v>5000000</v>
      </c>
      <c r="F9" s="601">
        <f t="shared" ref="F9:F24" si="0">+E9*D9</f>
        <v>5000000</v>
      </c>
    </row>
    <row r="10" spans="1:6" ht="75">
      <c r="A10" s="600">
        <v>2</v>
      </c>
      <c r="B10" s="600" t="s">
        <v>1403</v>
      </c>
      <c r="C10" s="600" t="s">
        <v>1404</v>
      </c>
      <c r="D10" s="600">
        <v>1</v>
      </c>
      <c r="E10" s="601">
        <v>584000000</v>
      </c>
      <c r="F10" s="601">
        <f t="shared" si="0"/>
        <v>584000000</v>
      </c>
    </row>
    <row r="11" spans="1:6">
      <c r="A11" s="600">
        <v>3</v>
      </c>
      <c r="B11" s="600" t="s">
        <v>1405</v>
      </c>
      <c r="C11" s="600" t="s">
        <v>1406</v>
      </c>
      <c r="D11" s="600">
        <v>47</v>
      </c>
      <c r="E11" s="601">
        <v>2000000</v>
      </c>
      <c r="F11" s="601">
        <f t="shared" si="0"/>
        <v>94000000</v>
      </c>
    </row>
    <row r="12" spans="1:6" ht="30">
      <c r="A12" s="600">
        <v>4</v>
      </c>
      <c r="B12" s="600" t="s">
        <v>1405</v>
      </c>
      <c r="C12" s="600" t="s">
        <v>1407</v>
      </c>
      <c r="D12" s="600">
        <v>50</v>
      </c>
      <c r="E12" s="601">
        <v>700000</v>
      </c>
      <c r="F12" s="601">
        <f t="shared" si="0"/>
        <v>35000000</v>
      </c>
    </row>
    <row r="13" spans="1:6" ht="30">
      <c r="A13" s="600">
        <v>5</v>
      </c>
      <c r="B13" s="600" t="s">
        <v>1408</v>
      </c>
      <c r="C13" s="600" t="s">
        <v>1409</v>
      </c>
      <c r="D13" s="600">
        <v>1</v>
      </c>
      <c r="E13" s="601">
        <v>6000000</v>
      </c>
      <c r="F13" s="601">
        <f t="shared" si="0"/>
        <v>6000000</v>
      </c>
    </row>
    <row r="14" spans="1:6" ht="30">
      <c r="A14" s="600">
        <v>6</v>
      </c>
      <c r="B14" s="600" t="s">
        <v>1410</v>
      </c>
      <c r="C14" s="600" t="s">
        <v>1411</v>
      </c>
      <c r="D14" s="600">
        <v>1</v>
      </c>
      <c r="E14" s="601">
        <v>3000000</v>
      </c>
      <c r="F14" s="601">
        <f t="shared" si="0"/>
        <v>3000000</v>
      </c>
    </row>
    <row r="15" spans="1:6" ht="60">
      <c r="A15" s="600">
        <v>7</v>
      </c>
      <c r="B15" s="600" t="s">
        <v>1412</v>
      </c>
      <c r="C15" s="600" t="s">
        <v>1413</v>
      </c>
      <c r="D15" s="600">
        <v>1</v>
      </c>
      <c r="E15" s="601">
        <v>10000000</v>
      </c>
      <c r="F15" s="601">
        <f t="shared" si="0"/>
        <v>10000000</v>
      </c>
    </row>
    <row r="16" spans="1:6" ht="30">
      <c r="A16" s="600">
        <v>8</v>
      </c>
      <c r="B16" s="600" t="s">
        <v>1414</v>
      </c>
      <c r="C16" s="600" t="s">
        <v>1415</v>
      </c>
      <c r="D16" s="600">
        <v>1</v>
      </c>
      <c r="E16" s="601">
        <v>30000000</v>
      </c>
      <c r="F16" s="601">
        <f t="shared" si="0"/>
        <v>30000000</v>
      </c>
    </row>
    <row r="17" spans="1:6" ht="60">
      <c r="A17" s="600">
        <v>9</v>
      </c>
      <c r="B17" s="600" t="s">
        <v>1416</v>
      </c>
      <c r="C17" s="600" t="s">
        <v>330</v>
      </c>
      <c r="D17" s="600">
        <v>78</v>
      </c>
      <c r="E17" s="601">
        <v>12500</v>
      </c>
      <c r="F17" s="601">
        <f t="shared" si="0"/>
        <v>975000</v>
      </c>
    </row>
    <row r="18" spans="1:6" ht="60">
      <c r="A18" s="600">
        <v>10</v>
      </c>
      <c r="B18" s="600" t="s">
        <v>331</v>
      </c>
      <c r="C18" s="600" t="s">
        <v>330</v>
      </c>
      <c r="D18" s="600">
        <v>76</v>
      </c>
      <c r="E18" s="601">
        <v>40000</v>
      </c>
      <c r="F18" s="601">
        <f t="shared" si="0"/>
        <v>3040000</v>
      </c>
    </row>
    <row r="19" spans="1:6" ht="45">
      <c r="A19" s="600">
        <v>11</v>
      </c>
      <c r="B19" s="600" t="s">
        <v>814</v>
      </c>
      <c r="C19" s="600" t="s">
        <v>332</v>
      </c>
      <c r="D19" s="600">
        <v>2</v>
      </c>
      <c r="E19" s="601">
        <v>200000</v>
      </c>
      <c r="F19" s="601">
        <f t="shared" si="0"/>
        <v>400000</v>
      </c>
    </row>
    <row r="20" spans="1:6" ht="45">
      <c r="A20" s="600">
        <v>12</v>
      </c>
      <c r="B20" s="600" t="s">
        <v>335</v>
      </c>
      <c r="C20" s="600" t="s">
        <v>336</v>
      </c>
      <c r="D20" s="600">
        <v>4</v>
      </c>
      <c r="E20" s="601">
        <v>1000000</v>
      </c>
      <c r="F20" s="601">
        <f t="shared" si="0"/>
        <v>4000000</v>
      </c>
    </row>
    <row r="21" spans="1:6" ht="30">
      <c r="A21" s="600">
        <v>13</v>
      </c>
      <c r="B21" s="600" t="s">
        <v>1417</v>
      </c>
      <c r="C21" s="600" t="s">
        <v>1418</v>
      </c>
      <c r="D21" s="600">
        <v>22</v>
      </c>
      <c r="E21" s="601">
        <v>300000</v>
      </c>
      <c r="F21" s="601">
        <f t="shared" si="0"/>
        <v>6600000</v>
      </c>
    </row>
    <row r="22" spans="1:6" ht="30">
      <c r="A22" s="600"/>
      <c r="B22" s="600" t="s">
        <v>1419</v>
      </c>
      <c r="C22" s="600" t="s">
        <v>1420</v>
      </c>
      <c r="D22" s="600">
        <v>1</v>
      </c>
      <c r="E22" s="601">
        <v>3000000</v>
      </c>
      <c r="F22" s="601">
        <f t="shared" si="0"/>
        <v>3000000</v>
      </c>
    </row>
    <row r="23" spans="1:6" ht="30">
      <c r="A23" s="600"/>
      <c r="B23" s="600" t="s">
        <v>1421</v>
      </c>
      <c r="C23" s="600" t="s">
        <v>1420</v>
      </c>
      <c r="D23" s="600">
        <v>1</v>
      </c>
      <c r="E23" s="601">
        <v>2200000</v>
      </c>
      <c r="F23" s="601">
        <f t="shared" si="0"/>
        <v>2200000</v>
      </c>
    </row>
    <row r="24" spans="1:6" ht="30">
      <c r="A24" s="600">
        <v>14</v>
      </c>
      <c r="B24" s="600" t="s">
        <v>1422</v>
      </c>
      <c r="C24" s="600" t="s">
        <v>1420</v>
      </c>
      <c r="D24" s="600">
        <v>1</v>
      </c>
      <c r="E24" s="601">
        <v>3500000</v>
      </c>
      <c r="F24" s="601">
        <f t="shared" si="0"/>
        <v>3500000</v>
      </c>
    </row>
    <row r="25" spans="1:6" ht="15.75">
      <c r="A25" s="602"/>
      <c r="B25" s="602" t="s">
        <v>174</v>
      </c>
      <c r="C25" s="602"/>
      <c r="D25" s="598"/>
      <c r="E25" s="599"/>
      <c r="F25" s="599">
        <f>SUM(F9:F24)</f>
        <v>790715000</v>
      </c>
    </row>
    <row r="28" spans="1:6" ht="15.75">
      <c r="B28" s="1374" t="s">
        <v>1423</v>
      </c>
      <c r="C28" s="1374"/>
      <c r="D28" s="1374"/>
    </row>
    <row r="29" spans="1:6">
      <c r="B29" s="603"/>
      <c r="C29" s="603"/>
      <c r="D29" s="603"/>
    </row>
    <row r="30" spans="1:6" ht="15.75">
      <c r="B30" s="1375"/>
      <c r="C30" s="1375"/>
      <c r="D30" s="604"/>
    </row>
    <row r="31" spans="1:6" ht="30">
      <c r="A31" s="600" t="s">
        <v>1</v>
      </c>
      <c r="B31" s="600" t="s">
        <v>325</v>
      </c>
      <c r="C31" s="600" t="s">
        <v>3</v>
      </c>
      <c r="D31" s="600" t="s">
        <v>287</v>
      </c>
      <c r="E31" s="601" t="s">
        <v>166</v>
      </c>
      <c r="F31" s="601" t="s">
        <v>179</v>
      </c>
    </row>
    <row r="32" spans="1:6">
      <c r="A32" s="605">
        <v>1</v>
      </c>
      <c r="B32" s="600" t="s">
        <v>1424</v>
      </c>
      <c r="C32" s="600" t="s">
        <v>1425</v>
      </c>
      <c r="D32" s="600">
        <v>8</v>
      </c>
      <c r="E32" s="601">
        <v>1200000</v>
      </c>
      <c r="F32" s="601">
        <f t="shared" ref="F32:F40" si="1">+E32*D32</f>
        <v>9600000</v>
      </c>
    </row>
    <row r="33" spans="1:6">
      <c r="A33" s="605">
        <v>2</v>
      </c>
      <c r="B33" s="600" t="s">
        <v>1426</v>
      </c>
      <c r="C33" s="600" t="s">
        <v>1427</v>
      </c>
      <c r="D33" s="600">
        <v>4</v>
      </c>
      <c r="E33" s="601">
        <v>1000000</v>
      </c>
      <c r="F33" s="601">
        <f t="shared" si="1"/>
        <v>4000000</v>
      </c>
    </row>
    <row r="34" spans="1:6">
      <c r="A34" s="605">
        <v>3</v>
      </c>
      <c r="B34" s="600" t="s">
        <v>1428</v>
      </c>
      <c r="C34" s="600" t="s">
        <v>1429</v>
      </c>
      <c r="D34" s="600">
        <v>10</v>
      </c>
      <c r="E34" s="601">
        <v>600000</v>
      </c>
      <c r="F34" s="601">
        <f t="shared" si="1"/>
        <v>6000000</v>
      </c>
    </row>
    <row r="35" spans="1:6">
      <c r="A35" s="605">
        <v>4</v>
      </c>
      <c r="B35" s="600" t="s">
        <v>1430</v>
      </c>
      <c r="C35" s="600" t="s">
        <v>1431</v>
      </c>
      <c r="D35" s="600">
        <v>10</v>
      </c>
      <c r="E35" s="601">
        <v>1100000</v>
      </c>
      <c r="F35" s="601">
        <f t="shared" si="1"/>
        <v>11000000</v>
      </c>
    </row>
    <row r="36" spans="1:6" ht="30">
      <c r="A36" s="605">
        <v>5</v>
      </c>
      <c r="B36" s="600" t="s">
        <v>1432</v>
      </c>
      <c r="C36" s="600" t="s">
        <v>1433</v>
      </c>
      <c r="D36" s="600">
        <v>172</v>
      </c>
      <c r="E36" s="601">
        <v>600000</v>
      </c>
      <c r="F36" s="601">
        <f t="shared" si="1"/>
        <v>103200000</v>
      </c>
    </row>
    <row r="37" spans="1:6">
      <c r="A37" s="605">
        <v>6</v>
      </c>
      <c r="B37" s="600" t="s">
        <v>1434</v>
      </c>
      <c r="C37" s="600" t="s">
        <v>1435</v>
      </c>
      <c r="D37" s="600">
        <v>150</v>
      </c>
      <c r="E37" s="601">
        <v>800000</v>
      </c>
      <c r="F37" s="601">
        <f t="shared" si="1"/>
        <v>120000000</v>
      </c>
    </row>
    <row r="38" spans="1:6">
      <c r="A38" s="605">
        <v>7</v>
      </c>
      <c r="B38" s="600" t="s">
        <v>1436</v>
      </c>
      <c r="C38" s="600" t="s">
        <v>1437</v>
      </c>
      <c r="D38" s="600">
        <v>2</v>
      </c>
      <c r="E38" s="601">
        <v>10000000</v>
      </c>
      <c r="F38" s="601">
        <f t="shared" si="1"/>
        <v>20000000</v>
      </c>
    </row>
    <row r="39" spans="1:6">
      <c r="A39" s="605">
        <v>8</v>
      </c>
      <c r="B39" s="600" t="s">
        <v>1438</v>
      </c>
      <c r="C39" s="600" t="s">
        <v>1439</v>
      </c>
      <c r="D39" s="600">
        <v>60</v>
      </c>
      <c r="E39" s="601">
        <v>1500000</v>
      </c>
      <c r="F39" s="601">
        <f t="shared" si="1"/>
        <v>90000000</v>
      </c>
    </row>
    <row r="40" spans="1:6">
      <c r="A40" s="605">
        <v>9</v>
      </c>
      <c r="B40" s="600" t="s">
        <v>1440</v>
      </c>
      <c r="C40" s="600" t="s">
        <v>1441</v>
      </c>
      <c r="D40" s="600">
        <v>1</v>
      </c>
      <c r="E40" s="601">
        <v>110000000</v>
      </c>
      <c r="F40" s="601">
        <f t="shared" si="1"/>
        <v>110000000</v>
      </c>
    </row>
    <row r="41" spans="1:6" ht="15.75">
      <c r="A41" s="1376" t="s">
        <v>179</v>
      </c>
      <c r="B41" s="1376"/>
      <c r="C41" s="1376"/>
      <c r="D41" s="606"/>
      <c r="E41" s="607"/>
      <c r="F41" s="608">
        <f>SUM(F32:F40)</f>
        <v>473800000</v>
      </c>
    </row>
    <row r="42" spans="1:6" ht="15.75">
      <c r="A42" s="609"/>
      <c r="B42" s="610"/>
      <c r="C42" s="610"/>
      <c r="D42" s="596"/>
      <c r="E42" s="597"/>
      <c r="F42" s="611"/>
    </row>
    <row r="43" spans="1:6" s="612" customFormat="1" ht="15.75">
      <c r="B43" s="1377"/>
      <c r="C43" s="1377"/>
      <c r="D43" s="596"/>
      <c r="E43" s="613"/>
      <c r="F43" s="613"/>
    </row>
    <row r="44" spans="1:6" s="612" customFormat="1">
      <c r="A44" s="614"/>
      <c r="B44" s="604"/>
      <c r="C44" s="604"/>
      <c r="D44" s="604"/>
      <c r="E44" s="613"/>
      <c r="F44" s="613"/>
    </row>
    <row r="45" spans="1:6" s="612" customFormat="1">
      <c r="A45" s="1378"/>
      <c r="B45" s="604"/>
      <c r="C45" s="604"/>
      <c r="D45" s="604"/>
      <c r="E45" s="613"/>
      <c r="F45" s="613"/>
    </row>
    <row r="46" spans="1:6" s="612" customFormat="1">
      <c r="A46" s="1378"/>
      <c r="B46" s="604"/>
      <c r="C46" s="604"/>
      <c r="D46" s="604"/>
      <c r="E46" s="613"/>
      <c r="F46" s="613"/>
    </row>
    <row r="47" spans="1:6" s="612" customFormat="1">
      <c r="A47" s="1378"/>
      <c r="B47" s="604"/>
      <c r="C47" s="604"/>
      <c r="D47" s="604"/>
      <c r="E47" s="613"/>
      <c r="F47" s="613"/>
    </row>
    <row r="48" spans="1:6" s="612" customFormat="1">
      <c r="A48" s="614"/>
      <c r="B48" s="604"/>
      <c r="C48" s="604"/>
      <c r="D48" s="604"/>
      <c r="E48" s="613"/>
      <c r="F48" s="613"/>
    </row>
    <row r="49" spans="1:6" s="612" customFormat="1">
      <c r="A49" s="614"/>
      <c r="B49" s="604"/>
      <c r="C49" s="604"/>
      <c r="D49" s="604"/>
      <c r="E49" s="613"/>
      <c r="F49" s="597"/>
    </row>
    <row r="50" spans="1:6" s="612" customFormat="1">
      <c r="A50" s="1378"/>
      <c r="B50" s="604"/>
      <c r="C50" s="604"/>
      <c r="D50" s="604"/>
      <c r="E50" s="613"/>
      <c r="F50" s="613"/>
    </row>
    <row r="51" spans="1:6" s="612" customFormat="1">
      <c r="A51" s="1378"/>
      <c r="B51" s="615"/>
      <c r="C51" s="604"/>
      <c r="D51" s="615"/>
      <c r="E51" s="616"/>
      <c r="F51" s="616"/>
    </row>
    <row r="52" spans="1:6" s="612" customFormat="1">
      <c r="A52" s="596"/>
      <c r="B52" s="604"/>
      <c r="C52" s="604"/>
      <c r="D52" s="615"/>
      <c r="E52" s="616"/>
      <c r="F52" s="616"/>
    </row>
    <row r="53" spans="1:6" s="612" customFormat="1">
      <c r="A53" s="596"/>
      <c r="B53" s="604"/>
      <c r="C53" s="604"/>
      <c r="D53" s="615"/>
      <c r="E53" s="616"/>
      <c r="F53" s="616"/>
    </row>
    <row r="54" spans="1:6" s="612" customFormat="1">
      <c r="A54" s="614"/>
      <c r="B54" s="604"/>
      <c r="C54" s="604"/>
      <c r="D54" s="604"/>
      <c r="E54" s="613"/>
      <c r="F54" s="613"/>
    </row>
    <row r="55" spans="1:6" s="612" customFormat="1">
      <c r="B55" s="604"/>
      <c r="C55" s="604"/>
      <c r="D55" s="604"/>
      <c r="E55" s="613"/>
      <c r="F55" s="613"/>
    </row>
    <row r="56" spans="1:6" s="612" customFormat="1">
      <c r="B56" s="604"/>
      <c r="C56" s="604"/>
      <c r="D56" s="604"/>
      <c r="E56" s="613"/>
      <c r="F56" s="613"/>
    </row>
    <row r="57" spans="1:6" s="612" customFormat="1">
      <c r="A57" s="1378"/>
      <c r="B57" s="604"/>
      <c r="C57" s="604"/>
      <c r="D57" s="604"/>
      <c r="E57" s="613"/>
      <c r="F57" s="613"/>
    </row>
    <row r="58" spans="1:6" s="612" customFormat="1">
      <c r="A58" s="1378"/>
      <c r="B58" s="615"/>
      <c r="C58" s="604"/>
      <c r="D58" s="604"/>
      <c r="E58" s="613"/>
      <c r="F58" s="613"/>
    </row>
    <row r="59" spans="1:6" s="612" customFormat="1">
      <c r="A59" s="614"/>
      <c r="B59" s="604"/>
      <c r="C59" s="604"/>
      <c r="D59" s="604"/>
      <c r="E59" s="613"/>
      <c r="F59" s="613"/>
    </row>
    <row r="60" spans="1:6" s="612" customFormat="1">
      <c r="A60" s="604"/>
      <c r="B60" s="604"/>
      <c r="C60" s="604"/>
      <c r="D60" s="604"/>
      <c r="E60" s="613"/>
      <c r="F60" s="613"/>
    </row>
    <row r="61" spans="1:6" s="612" customFormat="1">
      <c r="A61" s="604"/>
      <c r="B61" s="604"/>
      <c r="C61" s="604"/>
      <c r="D61" s="604"/>
      <c r="E61" s="613"/>
      <c r="F61" s="613"/>
    </row>
    <row r="62" spans="1:6" s="612" customFormat="1" ht="15.75">
      <c r="A62" s="1350"/>
      <c r="B62" s="1350"/>
      <c r="C62" s="596"/>
      <c r="D62" s="596"/>
      <c r="E62" s="597"/>
      <c r="F62" s="611"/>
    </row>
    <row r="63" spans="1:6" s="612" customFormat="1" ht="15.75">
      <c r="A63" s="614"/>
      <c r="B63" s="596"/>
      <c r="C63" s="596"/>
      <c r="D63" s="596"/>
      <c r="E63" s="597"/>
      <c r="F63" s="611"/>
    </row>
    <row r="64" spans="1:6" s="612" customFormat="1" ht="15.75">
      <c r="B64" s="610"/>
      <c r="C64" s="596"/>
      <c r="D64" s="596"/>
      <c r="E64" s="597"/>
      <c r="F64" s="597"/>
    </row>
    <row r="65" spans="1:6" s="612" customFormat="1">
      <c r="B65" s="596"/>
      <c r="C65" s="596"/>
      <c r="D65" s="596"/>
      <c r="E65" s="597"/>
      <c r="F65" s="597"/>
    </row>
    <row r="66" spans="1:6" s="612" customFormat="1" ht="15.75">
      <c r="B66" s="610"/>
      <c r="C66" s="596"/>
      <c r="D66" s="596"/>
      <c r="E66" s="597"/>
      <c r="F66" s="597"/>
    </row>
    <row r="67" spans="1:6" s="612" customFormat="1" ht="15.75">
      <c r="A67" s="617"/>
      <c r="B67" s="617"/>
      <c r="C67" s="617"/>
      <c r="D67" s="617"/>
      <c r="E67" s="618"/>
      <c r="F67" s="618"/>
    </row>
    <row r="68" spans="1:6" s="612" customFormat="1">
      <c r="A68" s="614"/>
      <c r="B68" s="596"/>
      <c r="C68" s="604"/>
      <c r="D68" s="604"/>
      <c r="E68" s="613"/>
      <c r="F68" s="613"/>
    </row>
    <row r="69" spans="1:6" s="612" customFormat="1">
      <c r="A69" s="614"/>
      <c r="B69" s="596"/>
      <c r="C69" s="604"/>
      <c r="D69" s="604"/>
      <c r="E69" s="613"/>
      <c r="F69" s="613"/>
    </row>
    <row r="70" spans="1:6" s="612" customFormat="1">
      <c r="A70" s="614"/>
      <c r="B70" s="596"/>
      <c r="C70" s="604"/>
      <c r="D70" s="604"/>
      <c r="E70" s="613"/>
      <c r="F70" s="613"/>
    </row>
    <row r="71" spans="1:6" s="612" customFormat="1">
      <c r="A71" s="614"/>
      <c r="B71" s="596"/>
      <c r="C71" s="596"/>
      <c r="D71" s="604"/>
      <c r="E71" s="613"/>
      <c r="F71" s="613"/>
    </row>
    <row r="72" spans="1:6" s="612" customFormat="1">
      <c r="A72" s="614"/>
      <c r="B72" s="596"/>
      <c r="C72" s="604"/>
      <c r="D72" s="604"/>
      <c r="E72" s="613"/>
      <c r="F72" s="613"/>
    </row>
    <row r="73" spans="1:6" s="612" customFormat="1">
      <c r="A73" s="614"/>
      <c r="B73" s="596"/>
      <c r="C73" s="604"/>
      <c r="D73" s="604"/>
      <c r="E73" s="613"/>
      <c r="F73" s="613"/>
    </row>
    <row r="74" spans="1:6" s="612" customFormat="1">
      <c r="A74" s="614"/>
      <c r="B74" s="596"/>
      <c r="C74" s="604"/>
      <c r="D74" s="604"/>
      <c r="E74" s="613"/>
      <c r="F74" s="613"/>
    </row>
    <row r="75" spans="1:6" s="612" customFormat="1">
      <c r="A75" s="614"/>
      <c r="B75" s="604"/>
      <c r="C75" s="596"/>
      <c r="D75" s="604"/>
      <c r="E75" s="613"/>
      <c r="F75" s="613"/>
    </row>
    <row r="76" spans="1:6" s="612" customFormat="1">
      <c r="A76" s="614"/>
      <c r="B76" s="596"/>
      <c r="C76" s="604"/>
      <c r="D76" s="604"/>
      <c r="E76" s="613"/>
      <c r="F76" s="613"/>
    </row>
    <row r="77" spans="1:6" s="612" customFormat="1">
      <c r="A77" s="614"/>
      <c r="B77" s="604"/>
      <c r="C77" s="596"/>
      <c r="D77" s="604"/>
      <c r="E77" s="613"/>
      <c r="F77" s="613"/>
    </row>
    <row r="78" spans="1:6" s="612" customFormat="1">
      <c r="A78" s="614"/>
      <c r="B78" s="604"/>
      <c r="C78" s="596"/>
      <c r="D78" s="604"/>
      <c r="E78" s="613"/>
      <c r="F78" s="613"/>
    </row>
    <row r="79" spans="1:6" s="612" customFormat="1" ht="15.75">
      <c r="B79" s="610"/>
      <c r="C79" s="604"/>
      <c r="D79" s="604"/>
      <c r="E79" s="613"/>
      <c r="F79" s="618"/>
    </row>
    <row r="80" spans="1:6" s="612" customFormat="1">
      <c r="A80" s="614"/>
      <c r="B80" s="596"/>
      <c r="C80" s="604"/>
      <c r="D80" s="604"/>
      <c r="E80" s="613"/>
      <c r="F80" s="613"/>
    </row>
    <row r="81" spans="1:6" s="612" customFormat="1" ht="15.75">
      <c r="B81" s="610"/>
      <c r="C81" s="610"/>
      <c r="D81" s="596"/>
      <c r="E81" s="597"/>
      <c r="F81" s="597"/>
    </row>
    <row r="82" spans="1:6" s="612" customFormat="1" ht="15.75">
      <c r="A82" s="617"/>
      <c r="B82" s="617"/>
      <c r="C82" s="617"/>
      <c r="D82" s="617"/>
      <c r="E82" s="618"/>
      <c r="F82" s="618"/>
    </row>
    <row r="83" spans="1:6" s="612" customFormat="1">
      <c r="A83" s="619"/>
      <c r="B83" s="596"/>
      <c r="C83" s="604"/>
      <c r="D83" s="596"/>
      <c r="E83" s="597"/>
      <c r="F83" s="597"/>
    </row>
    <row r="84" spans="1:6" s="612" customFormat="1">
      <c r="A84" s="619"/>
      <c r="B84" s="596"/>
      <c r="C84" s="596"/>
      <c r="D84" s="596"/>
      <c r="E84" s="597"/>
      <c r="F84" s="597"/>
    </row>
    <row r="85" spans="1:6" s="612" customFormat="1">
      <c r="A85" s="619"/>
      <c r="B85" s="596"/>
      <c r="C85" s="604"/>
      <c r="D85" s="596"/>
      <c r="E85" s="597"/>
      <c r="F85" s="597"/>
    </row>
    <row r="86" spans="1:6" s="612" customFormat="1">
      <c r="A86" s="619"/>
      <c r="B86" s="604"/>
      <c r="C86" s="604"/>
      <c r="D86" s="604"/>
      <c r="E86" s="597"/>
      <c r="F86" s="597"/>
    </row>
    <row r="87" spans="1:6" s="612" customFormat="1" ht="15.75">
      <c r="A87" s="1377"/>
      <c r="B87" s="1377"/>
      <c r="C87" s="604"/>
      <c r="D87" s="604"/>
      <c r="E87" s="597"/>
      <c r="F87" s="618"/>
    </row>
    <row r="88" spans="1:6" s="612" customFormat="1" ht="15.75">
      <c r="A88" s="617"/>
      <c r="B88" s="617"/>
      <c r="C88" s="604"/>
      <c r="D88" s="604"/>
      <c r="E88" s="597"/>
      <c r="F88" s="618"/>
    </row>
    <row r="89" spans="1:6" s="621" customFormat="1" ht="14.25">
      <c r="A89" s="1371"/>
      <c r="B89" s="1371"/>
      <c r="C89" s="1371"/>
      <c r="D89" s="1371"/>
      <c r="E89" s="1371"/>
      <c r="F89" s="620"/>
    </row>
    <row r="90" spans="1:6" s="621" customFormat="1" ht="14.25">
      <c r="A90" s="622"/>
      <c r="B90" s="623"/>
      <c r="C90" s="622"/>
      <c r="D90" s="622"/>
      <c r="E90" s="624"/>
      <c r="F90" s="620"/>
    </row>
    <row r="91" spans="1:6" s="621" customFormat="1" ht="14.25">
      <c r="A91" s="622"/>
      <c r="B91" s="623"/>
      <c r="C91" s="622"/>
      <c r="D91" s="622"/>
      <c r="E91" s="624"/>
      <c r="F91" s="620"/>
    </row>
    <row r="92" spans="1:6" s="621" customFormat="1" ht="14.25">
      <c r="A92" s="622"/>
      <c r="B92" s="623"/>
      <c r="C92" s="622"/>
      <c r="D92" s="623"/>
      <c r="E92" s="624"/>
      <c r="F92" s="620"/>
    </row>
    <row r="93" spans="1:6" s="621" customFormat="1" ht="14.25">
      <c r="A93" s="622"/>
      <c r="B93" s="623"/>
      <c r="C93" s="622"/>
      <c r="D93" s="623"/>
      <c r="E93" s="624"/>
      <c r="F93" s="620"/>
    </row>
    <row r="94" spans="1:6" s="621" customFormat="1" ht="14.25">
      <c r="A94" s="622"/>
      <c r="B94" s="623"/>
      <c r="C94" s="622"/>
      <c r="D94" s="623"/>
      <c r="E94" s="624"/>
      <c r="F94" s="620"/>
    </row>
    <row r="95" spans="1:6" s="621" customFormat="1" ht="14.25">
      <c r="A95" s="622"/>
      <c r="B95" s="623"/>
      <c r="C95" s="622"/>
      <c r="D95" s="623"/>
      <c r="E95" s="624"/>
      <c r="F95" s="620"/>
    </row>
    <row r="96" spans="1:6" s="621" customFormat="1" ht="14.25">
      <c r="A96" s="622"/>
      <c r="B96" s="623"/>
      <c r="C96" s="622"/>
      <c r="D96" s="623"/>
      <c r="E96" s="624"/>
      <c r="F96" s="620"/>
    </row>
    <row r="97" spans="1:6" s="621" customFormat="1" ht="14.25">
      <c r="A97" s="622"/>
      <c r="B97" s="623"/>
      <c r="C97" s="624"/>
      <c r="D97" s="624"/>
      <c r="E97" s="624"/>
      <c r="F97" s="620"/>
    </row>
    <row r="98" spans="1:6" s="621" customFormat="1" ht="14.25">
      <c r="A98" s="622"/>
      <c r="B98" s="623"/>
      <c r="C98" s="624"/>
      <c r="D98" s="624"/>
      <c r="E98" s="624"/>
      <c r="F98" s="620"/>
    </row>
    <row r="99" spans="1:6" s="621" customFormat="1" ht="14.25">
      <c r="A99" s="622"/>
      <c r="B99" s="625"/>
      <c r="C99" s="625"/>
      <c r="D99" s="625"/>
      <c r="E99" s="626"/>
      <c r="F99" s="620"/>
    </row>
    <row r="100" spans="1:6" s="621" customFormat="1" ht="14.25">
      <c r="A100" s="622"/>
      <c r="B100" s="625"/>
      <c r="C100" s="625"/>
      <c r="D100" s="625"/>
      <c r="E100" s="626"/>
      <c r="F100" s="620"/>
    </row>
    <row r="101" spans="1:6" s="621" customFormat="1" ht="14.25">
      <c r="A101" s="622"/>
      <c r="B101" s="625"/>
      <c r="C101" s="625"/>
      <c r="D101" s="625"/>
      <c r="E101" s="626"/>
      <c r="F101" s="620"/>
    </row>
    <row r="102" spans="1:6" s="621" customFormat="1" ht="14.25">
      <c r="A102" s="622"/>
      <c r="B102" s="625"/>
      <c r="C102" s="625"/>
      <c r="D102" s="625"/>
      <c r="E102" s="626"/>
      <c r="F102" s="620"/>
    </row>
    <row r="103" spans="1:6" s="621" customFormat="1" ht="14.25">
      <c r="A103" s="622"/>
      <c r="B103" s="625"/>
      <c r="C103" s="625"/>
      <c r="D103" s="625"/>
      <c r="E103" s="626"/>
      <c r="F103" s="620"/>
    </row>
    <row r="104" spans="1:6" s="621" customFormat="1" ht="14.25">
      <c r="A104" s="622"/>
      <c r="B104" s="625"/>
      <c r="C104" s="625"/>
      <c r="D104" s="625"/>
      <c r="E104" s="626"/>
      <c r="F104" s="620"/>
    </row>
    <row r="105" spans="1:6" s="621" customFormat="1" ht="14.25">
      <c r="A105" s="622"/>
      <c r="B105" s="625"/>
      <c r="C105" s="625"/>
      <c r="D105" s="625"/>
      <c r="E105" s="626"/>
      <c r="F105" s="620"/>
    </row>
    <row r="106" spans="1:6" s="621" customFormat="1" ht="14.25">
      <c r="A106" s="622"/>
      <c r="B106" s="625"/>
      <c r="C106" s="625"/>
      <c r="D106" s="625"/>
      <c r="E106" s="626"/>
      <c r="F106" s="620"/>
    </row>
    <row r="107" spans="1:6" s="621" customFormat="1" ht="14.25">
      <c r="A107" s="622"/>
      <c r="B107" s="625"/>
      <c r="C107" s="626"/>
      <c r="D107" s="626"/>
      <c r="E107" s="626"/>
      <c r="F107" s="620"/>
    </row>
    <row r="108" spans="1:6" s="621" customFormat="1" ht="14.25">
      <c r="A108" s="622"/>
      <c r="B108" s="625"/>
      <c r="C108" s="626"/>
      <c r="D108" s="626"/>
      <c r="E108" s="626"/>
      <c r="F108" s="620"/>
    </row>
    <row r="109" spans="1:6" s="621" customFormat="1" ht="14.25">
      <c r="A109" s="622"/>
      <c r="B109" s="622"/>
      <c r="C109" s="626"/>
      <c r="D109" s="622"/>
      <c r="E109" s="626"/>
      <c r="F109" s="620"/>
    </row>
    <row r="110" spans="1:6" s="627" customFormat="1" ht="14.25">
      <c r="A110" s="1366"/>
      <c r="B110" s="1366"/>
      <c r="C110" s="1366"/>
      <c r="D110" s="1366"/>
      <c r="E110" s="1366"/>
      <c r="F110" s="620"/>
    </row>
    <row r="111" spans="1:6" s="629" customFormat="1" ht="14.25">
      <c r="A111" s="625"/>
      <c r="B111" s="625"/>
      <c r="C111" s="625"/>
      <c r="D111" s="628"/>
      <c r="E111" s="626"/>
      <c r="F111" s="620"/>
    </row>
    <row r="112" spans="1:6" s="629" customFormat="1" ht="14.25">
      <c r="A112" s="625"/>
      <c r="B112" s="625"/>
      <c r="C112" s="625"/>
      <c r="D112" s="628"/>
      <c r="E112" s="626"/>
      <c r="F112" s="620"/>
    </row>
    <row r="113" spans="1:7" s="629" customFormat="1" ht="14.25">
      <c r="A113" s="625"/>
      <c r="B113" s="625"/>
      <c r="C113" s="625"/>
      <c r="D113" s="625"/>
      <c r="E113" s="630"/>
      <c r="F113" s="620"/>
    </row>
    <row r="114" spans="1:7" s="629" customFormat="1" ht="14.25">
      <c r="A114" s="625"/>
      <c r="B114" s="625"/>
      <c r="C114" s="625"/>
      <c r="D114" s="625"/>
      <c r="E114" s="630"/>
      <c r="F114" s="620"/>
    </row>
    <row r="115" spans="1:7" s="635" customFormat="1" ht="12.75">
      <c r="A115" s="631"/>
      <c r="B115" s="631"/>
      <c r="C115" s="632"/>
      <c r="D115" s="632"/>
      <c r="E115" s="633"/>
      <c r="F115" s="634"/>
    </row>
    <row r="116" spans="1:7" s="638" customFormat="1" ht="12.75">
      <c r="A116" s="636"/>
      <c r="B116" s="1367"/>
      <c r="C116" s="1367"/>
      <c r="D116" s="637"/>
      <c r="E116" s="633"/>
      <c r="F116" s="634"/>
    </row>
    <row r="117" spans="1:7" s="638" customFormat="1" ht="12.75">
      <c r="A117" s="636"/>
      <c r="B117" s="636"/>
      <c r="C117" s="637"/>
      <c r="D117" s="637"/>
      <c r="E117" s="633"/>
      <c r="F117" s="634"/>
    </row>
    <row r="118" spans="1:7" s="638" customFormat="1" ht="12.75">
      <c r="A118" s="636"/>
      <c r="B118" s="636"/>
      <c r="C118" s="637"/>
      <c r="D118" s="637"/>
      <c r="E118" s="633"/>
      <c r="F118" s="634"/>
    </row>
    <row r="119" spans="1:7" s="638" customFormat="1" ht="12.75">
      <c r="A119" s="636"/>
      <c r="B119" s="639"/>
      <c r="C119" s="636"/>
      <c r="D119" s="636"/>
      <c r="E119" s="634"/>
      <c r="F119" s="634"/>
      <c r="G119" s="640"/>
    </row>
    <row r="120" spans="1:7" s="638" customFormat="1" ht="12.75">
      <c r="A120" s="636"/>
      <c r="B120" s="641"/>
      <c r="C120" s="637"/>
      <c r="D120" s="641"/>
      <c r="E120" s="633"/>
      <c r="F120" s="642"/>
      <c r="G120" s="640"/>
    </row>
    <row r="121" spans="1:7" s="638" customFormat="1" ht="12.75">
      <c r="A121" s="636"/>
      <c r="B121" s="641"/>
      <c r="C121" s="641"/>
      <c r="D121" s="641"/>
      <c r="E121" s="633"/>
      <c r="F121" s="642"/>
      <c r="G121" s="640"/>
    </row>
    <row r="122" spans="1:7" s="638" customFormat="1" ht="12.75">
      <c r="A122" s="636"/>
      <c r="B122" s="641"/>
      <c r="C122" s="641"/>
      <c r="D122" s="641"/>
      <c r="E122" s="633"/>
      <c r="F122" s="642"/>
      <c r="G122" s="640"/>
    </row>
    <row r="123" spans="1:7" s="638" customFormat="1" ht="12.75">
      <c r="A123" s="636"/>
      <c r="B123" s="641"/>
      <c r="C123" s="641"/>
      <c r="D123" s="641"/>
      <c r="E123" s="633"/>
      <c r="F123" s="642"/>
      <c r="G123" s="640"/>
    </row>
    <row r="124" spans="1:7" s="638" customFormat="1" ht="12.75">
      <c r="A124" s="636"/>
      <c r="B124" s="639"/>
      <c r="C124" s="639"/>
      <c r="D124" s="641"/>
      <c r="E124" s="633"/>
      <c r="F124" s="633"/>
      <c r="G124" s="640"/>
    </row>
    <row r="125" spans="1:7" s="638" customFormat="1" ht="12.75">
      <c r="A125" s="636"/>
      <c r="B125" s="641"/>
      <c r="C125" s="641"/>
      <c r="D125" s="641"/>
      <c r="E125" s="633"/>
      <c r="F125" s="633"/>
      <c r="G125" s="640"/>
    </row>
    <row r="126" spans="1:7" s="638" customFormat="1" ht="12.75">
      <c r="A126" s="636"/>
      <c r="B126" s="641"/>
      <c r="C126" s="641"/>
      <c r="D126" s="641"/>
      <c r="E126" s="633"/>
      <c r="F126" s="633"/>
      <c r="G126" s="640"/>
    </row>
    <row r="127" spans="1:7" s="638" customFormat="1" ht="12.75">
      <c r="A127" s="643"/>
      <c r="B127" s="641"/>
      <c r="C127" s="641"/>
      <c r="D127" s="641"/>
      <c r="E127" s="644"/>
      <c r="F127" s="633"/>
    </row>
    <row r="128" spans="1:7" s="638" customFormat="1" ht="12.75">
      <c r="B128" s="639"/>
      <c r="C128" s="641"/>
      <c r="D128" s="641"/>
      <c r="E128" s="633"/>
      <c r="F128" s="633"/>
    </row>
    <row r="129" spans="1:6" s="638" customFormat="1" ht="12.75">
      <c r="B129" s="641"/>
      <c r="C129" s="641"/>
      <c r="D129" s="641"/>
      <c r="E129" s="633"/>
      <c r="F129" s="633"/>
    </row>
    <row r="130" spans="1:6" s="638" customFormat="1" ht="12.75">
      <c r="A130" s="636"/>
      <c r="B130" s="636"/>
      <c r="C130" s="636"/>
      <c r="D130" s="636"/>
      <c r="E130" s="634"/>
      <c r="F130" s="634"/>
    </row>
    <row r="131" spans="1:6" s="638" customFormat="1" ht="12.75">
      <c r="A131" s="645"/>
      <c r="B131" s="637"/>
      <c r="C131" s="637"/>
      <c r="D131" s="637"/>
      <c r="E131" s="642"/>
      <c r="F131" s="642"/>
    </row>
    <row r="132" spans="1:6" s="638" customFormat="1" ht="12.75">
      <c r="A132" s="645"/>
      <c r="B132" s="637"/>
      <c r="C132" s="637"/>
      <c r="D132" s="637"/>
      <c r="E132" s="642"/>
      <c r="F132" s="642"/>
    </row>
    <row r="133" spans="1:6" s="638" customFormat="1" ht="12.75">
      <c r="A133" s="645"/>
      <c r="B133" s="637"/>
      <c r="C133" s="637"/>
      <c r="D133" s="637"/>
      <c r="E133" s="642"/>
      <c r="F133" s="642"/>
    </row>
    <row r="134" spans="1:6" s="638" customFormat="1" ht="12.75">
      <c r="A134" s="645"/>
      <c r="B134" s="637"/>
      <c r="C134" s="637"/>
      <c r="D134" s="637"/>
      <c r="E134" s="642"/>
      <c r="F134" s="642"/>
    </row>
    <row r="135" spans="1:6" s="638" customFormat="1" ht="12.75">
      <c r="A135" s="645"/>
      <c r="B135" s="637"/>
      <c r="C135" s="637"/>
      <c r="D135" s="637"/>
      <c r="E135" s="642"/>
      <c r="F135" s="642"/>
    </row>
    <row r="136" spans="1:6" s="638" customFormat="1" ht="12.75">
      <c r="A136" s="645"/>
      <c r="B136" s="637"/>
      <c r="C136" s="637"/>
      <c r="D136" s="637"/>
      <c r="E136" s="642"/>
      <c r="F136" s="642"/>
    </row>
    <row r="137" spans="1:6" s="638" customFormat="1" ht="12.75">
      <c r="A137" s="645"/>
      <c r="B137" s="637"/>
      <c r="C137" s="637"/>
      <c r="D137" s="637"/>
      <c r="E137" s="642"/>
      <c r="F137" s="642"/>
    </row>
    <row r="138" spans="1:6" s="638" customFormat="1" ht="12.75">
      <c r="A138" s="645"/>
      <c r="B138" s="637"/>
      <c r="C138" s="637"/>
      <c r="D138" s="637"/>
      <c r="E138" s="642"/>
      <c r="F138" s="642"/>
    </row>
    <row r="139" spans="1:6" s="638" customFormat="1" ht="12.75">
      <c r="A139" s="645"/>
      <c r="B139" s="637"/>
      <c r="C139" s="637"/>
      <c r="D139" s="637"/>
      <c r="E139" s="642"/>
      <c r="F139" s="642"/>
    </row>
    <row r="140" spans="1:6" s="638" customFormat="1" ht="12.75">
      <c r="A140" s="645"/>
      <c r="B140" s="637"/>
      <c r="C140" s="637"/>
      <c r="D140" s="637"/>
      <c r="E140" s="642"/>
      <c r="F140" s="642"/>
    </row>
    <row r="141" spans="1:6" s="638" customFormat="1" ht="12.75">
      <c r="A141" s="645"/>
      <c r="B141" s="637"/>
      <c r="C141" s="637"/>
      <c r="D141" s="637"/>
      <c r="E141" s="642"/>
      <c r="F141" s="642"/>
    </row>
    <row r="142" spans="1:6" s="638" customFormat="1" ht="12.75">
      <c r="A142" s="645"/>
      <c r="B142" s="637"/>
      <c r="C142" s="637"/>
      <c r="D142" s="637"/>
      <c r="E142" s="642"/>
      <c r="F142" s="642"/>
    </row>
    <row r="143" spans="1:6" s="638" customFormat="1" ht="12.75">
      <c r="A143" s="645"/>
      <c r="B143" s="637"/>
      <c r="C143" s="637"/>
      <c r="D143" s="637"/>
      <c r="E143" s="642"/>
      <c r="F143" s="642"/>
    </row>
    <row r="144" spans="1:6" s="638" customFormat="1" ht="12.75">
      <c r="A144" s="645"/>
      <c r="B144" s="637"/>
      <c r="C144" s="637"/>
      <c r="D144" s="637"/>
      <c r="E144" s="642"/>
      <c r="F144" s="642"/>
    </row>
    <row r="145" spans="1:6" s="638" customFormat="1" ht="12.75">
      <c r="A145" s="645"/>
      <c r="B145" s="637"/>
      <c r="C145" s="637"/>
      <c r="D145" s="637"/>
      <c r="E145" s="642"/>
      <c r="F145" s="642"/>
    </row>
    <row r="146" spans="1:6" s="638" customFormat="1" ht="12.75">
      <c r="A146" s="645"/>
      <c r="B146" s="637"/>
      <c r="C146" s="637"/>
      <c r="D146" s="637"/>
      <c r="E146" s="642"/>
      <c r="F146" s="642"/>
    </row>
    <row r="147" spans="1:6" s="638" customFormat="1" ht="12.75">
      <c r="A147" s="645"/>
      <c r="B147" s="637"/>
      <c r="C147" s="637"/>
      <c r="D147" s="637"/>
      <c r="E147" s="642"/>
      <c r="F147" s="642"/>
    </row>
    <row r="148" spans="1:6" s="638" customFormat="1" ht="12.75">
      <c r="A148" s="645"/>
      <c r="B148" s="637"/>
      <c r="C148" s="637"/>
      <c r="D148" s="637"/>
      <c r="E148" s="642"/>
      <c r="F148" s="642"/>
    </row>
    <row r="149" spans="1:6" s="638" customFormat="1" ht="12.75">
      <c r="A149" s="645"/>
      <c r="B149" s="637"/>
      <c r="C149" s="637"/>
      <c r="D149" s="637"/>
      <c r="E149" s="642"/>
      <c r="F149" s="642"/>
    </row>
    <row r="150" spans="1:6" s="638" customFormat="1" ht="12.75">
      <c r="A150" s="645"/>
      <c r="B150" s="637"/>
      <c r="C150" s="637"/>
      <c r="D150" s="637"/>
      <c r="E150" s="642"/>
      <c r="F150" s="642"/>
    </row>
    <row r="151" spans="1:6" s="638" customFormat="1" ht="12.75">
      <c r="A151" s="645"/>
      <c r="B151" s="637"/>
      <c r="C151" s="637"/>
      <c r="D151" s="637"/>
      <c r="E151" s="642"/>
      <c r="F151" s="642"/>
    </row>
    <row r="152" spans="1:6" s="638" customFormat="1" ht="12.75">
      <c r="A152" s="645"/>
      <c r="B152" s="637"/>
      <c r="C152" s="637"/>
      <c r="D152" s="637"/>
      <c r="E152" s="642"/>
      <c r="F152" s="642"/>
    </row>
    <row r="153" spans="1:6" s="638" customFormat="1" ht="12.75">
      <c r="A153" s="645"/>
      <c r="B153" s="637"/>
      <c r="C153" s="637"/>
      <c r="D153" s="637"/>
      <c r="E153" s="642"/>
      <c r="F153" s="642"/>
    </row>
    <row r="154" spans="1:6" s="638" customFormat="1" ht="12.75">
      <c r="A154" s="645"/>
      <c r="B154" s="637"/>
      <c r="C154" s="637"/>
      <c r="D154" s="637"/>
      <c r="E154" s="642"/>
      <c r="F154" s="642"/>
    </row>
    <row r="155" spans="1:6" s="638" customFormat="1" ht="12.75">
      <c r="A155" s="645"/>
      <c r="B155" s="637"/>
      <c r="C155" s="637"/>
      <c r="D155" s="637"/>
      <c r="E155" s="642"/>
      <c r="F155" s="642"/>
    </row>
    <row r="156" spans="1:6" s="638" customFormat="1" ht="12.75">
      <c r="A156" s="645"/>
      <c r="B156" s="637"/>
      <c r="C156" s="641"/>
      <c r="D156" s="637"/>
      <c r="E156" s="642"/>
      <c r="F156" s="642"/>
    </row>
    <row r="157" spans="1:6" s="638" customFormat="1" ht="12.75">
      <c r="A157" s="645"/>
      <c r="B157" s="637"/>
      <c r="C157" s="641"/>
      <c r="D157" s="637"/>
      <c r="E157" s="642"/>
      <c r="F157" s="642"/>
    </row>
    <row r="158" spans="1:6" s="638" customFormat="1" ht="12.75">
      <c r="A158" s="645"/>
      <c r="B158" s="637"/>
      <c r="C158" s="641"/>
      <c r="D158" s="637"/>
      <c r="E158" s="642"/>
      <c r="F158" s="642"/>
    </row>
    <row r="159" spans="1:6" s="638" customFormat="1" ht="12.75">
      <c r="A159" s="645"/>
      <c r="B159" s="637"/>
      <c r="C159" s="641"/>
      <c r="D159" s="637"/>
      <c r="E159" s="642"/>
      <c r="F159" s="642"/>
    </row>
    <row r="160" spans="1:6" s="638" customFormat="1" ht="12.75">
      <c r="A160" s="645"/>
      <c r="B160" s="637"/>
      <c r="C160" s="641"/>
      <c r="D160" s="637"/>
      <c r="E160" s="642"/>
      <c r="F160" s="642"/>
    </row>
    <row r="161" spans="1:6" s="638" customFormat="1" ht="12.75">
      <c r="A161" s="645"/>
      <c r="B161" s="637"/>
      <c r="C161" s="641"/>
      <c r="D161" s="637"/>
      <c r="E161" s="642"/>
      <c r="F161" s="642"/>
    </row>
    <row r="162" spans="1:6" s="638" customFormat="1" ht="12.75">
      <c r="A162" s="645"/>
      <c r="B162" s="637"/>
      <c r="C162" s="641"/>
      <c r="D162" s="637"/>
      <c r="E162" s="642"/>
      <c r="F162" s="642"/>
    </row>
    <row r="163" spans="1:6" s="638" customFormat="1" ht="12.75">
      <c r="A163" s="645"/>
      <c r="B163" s="637"/>
      <c r="C163" s="641"/>
      <c r="D163" s="637"/>
      <c r="E163" s="642"/>
      <c r="F163" s="642"/>
    </row>
    <row r="164" spans="1:6" s="638" customFormat="1" ht="12.75">
      <c r="A164" s="645"/>
      <c r="B164" s="637"/>
      <c r="C164" s="641"/>
      <c r="D164" s="637"/>
      <c r="E164" s="642"/>
      <c r="F164" s="642"/>
    </row>
    <row r="165" spans="1:6" s="638" customFormat="1" ht="12.75">
      <c r="A165" s="1368"/>
      <c r="B165" s="1368"/>
      <c r="C165" s="639"/>
      <c r="D165" s="639"/>
      <c r="E165" s="644"/>
      <c r="F165" s="644"/>
    </row>
    <row r="166" spans="1:6" s="638" customFormat="1" ht="12.75">
      <c r="B166" s="641"/>
      <c r="C166" s="641"/>
      <c r="D166" s="641"/>
      <c r="E166" s="633"/>
      <c r="F166" s="633"/>
    </row>
    <row r="167" spans="1:6" s="638" customFormat="1" ht="12.75">
      <c r="B167" s="639"/>
      <c r="C167" s="641"/>
      <c r="D167" s="641"/>
      <c r="E167" s="633"/>
      <c r="F167" s="633"/>
    </row>
    <row r="168" spans="1:6" s="638" customFormat="1" ht="12.75">
      <c r="B168" s="641"/>
      <c r="C168" s="641"/>
      <c r="D168" s="641"/>
      <c r="E168" s="633"/>
      <c r="F168" s="633"/>
    </row>
    <row r="169" spans="1:6" s="638" customFormat="1" ht="12.75">
      <c r="A169" s="637"/>
      <c r="B169" s="637"/>
      <c r="C169" s="637"/>
      <c r="D169" s="637"/>
      <c r="E169" s="642"/>
      <c r="F169" s="642"/>
    </row>
    <row r="170" spans="1:6" s="638" customFormat="1" ht="12.75">
      <c r="A170" s="637"/>
      <c r="B170" s="637"/>
      <c r="C170" s="637"/>
      <c r="D170" s="637"/>
      <c r="E170" s="642"/>
      <c r="F170" s="642"/>
    </row>
    <row r="171" spans="1:6" s="638" customFormat="1" ht="12.75">
      <c r="A171" s="637"/>
      <c r="B171" s="637"/>
      <c r="C171" s="637"/>
      <c r="D171" s="637"/>
      <c r="E171" s="642"/>
      <c r="F171" s="642"/>
    </row>
    <row r="172" spans="1:6" s="638" customFormat="1" ht="12.75">
      <c r="A172" s="646"/>
      <c r="B172" s="636"/>
      <c r="C172" s="637"/>
      <c r="D172" s="637"/>
      <c r="E172" s="642"/>
      <c r="F172" s="634"/>
    </row>
    <row r="173" spans="1:6" s="638" customFormat="1" ht="12.75">
      <c r="A173" s="647"/>
      <c r="B173" s="648"/>
      <c r="C173" s="649"/>
      <c r="D173" s="649"/>
      <c r="E173" s="650"/>
      <c r="F173" s="650"/>
    </row>
    <row r="174" spans="1:6" s="638" customFormat="1" ht="12.75">
      <c r="A174" s="651"/>
      <c r="B174" s="649"/>
      <c r="C174" s="649"/>
      <c r="D174" s="649"/>
      <c r="E174" s="650"/>
      <c r="F174" s="650"/>
    </row>
    <row r="175" spans="1:6" s="638" customFormat="1" ht="12.75">
      <c r="A175" s="652"/>
      <c r="B175" s="653"/>
      <c r="C175" s="653"/>
      <c r="D175" s="653"/>
      <c r="E175" s="654"/>
      <c r="F175" s="654"/>
    </row>
    <row r="176" spans="1:6" s="638" customFormat="1" ht="12.75">
      <c r="A176" s="655"/>
      <c r="B176" s="656"/>
      <c r="C176" s="656"/>
      <c r="D176" s="656"/>
      <c r="E176" s="657"/>
      <c r="F176" s="657"/>
    </row>
    <row r="177" spans="1:6" s="638" customFormat="1" ht="12.75">
      <c r="A177" s="1369"/>
      <c r="B177" s="1370"/>
      <c r="C177" s="656"/>
      <c r="D177" s="1370"/>
      <c r="E177" s="1361"/>
      <c r="F177" s="1361"/>
    </row>
    <row r="178" spans="1:6" s="638" customFormat="1" ht="12.75">
      <c r="A178" s="1369"/>
      <c r="B178" s="1370"/>
      <c r="C178" s="656"/>
      <c r="D178" s="1370"/>
      <c r="E178" s="1361"/>
      <c r="F178" s="1361"/>
    </row>
    <row r="179" spans="1:6" s="638" customFormat="1" ht="12.75">
      <c r="A179" s="1369"/>
      <c r="B179" s="1370"/>
      <c r="C179" s="656"/>
      <c r="D179" s="1370"/>
      <c r="E179" s="1361"/>
      <c r="F179" s="1361"/>
    </row>
    <row r="180" spans="1:6" s="638" customFormat="1" ht="12.75">
      <c r="A180" s="1369"/>
      <c r="B180" s="1370"/>
      <c r="C180" s="656"/>
      <c r="D180" s="1370"/>
      <c r="E180" s="1361"/>
      <c r="F180" s="1361"/>
    </row>
    <row r="181" spans="1:6" s="638" customFormat="1" ht="12.75">
      <c r="A181" s="1369"/>
      <c r="B181" s="1370"/>
      <c r="C181" s="656"/>
      <c r="D181" s="1370"/>
      <c r="E181" s="1361"/>
      <c r="F181" s="1361"/>
    </row>
    <row r="182" spans="1:6" s="638" customFormat="1" ht="12.75">
      <c r="A182" s="1369"/>
      <c r="B182" s="1370"/>
      <c r="C182" s="656"/>
      <c r="D182" s="1370"/>
      <c r="E182" s="1361"/>
      <c r="F182" s="1361"/>
    </row>
    <row r="183" spans="1:6" s="638" customFormat="1" ht="12.75">
      <c r="A183" s="1369"/>
      <c r="B183" s="1370"/>
      <c r="C183" s="656"/>
      <c r="D183" s="1370"/>
      <c r="E183" s="1361"/>
      <c r="F183" s="1361"/>
    </row>
    <row r="184" spans="1:6" s="638" customFormat="1" ht="12.75">
      <c r="A184" s="655"/>
      <c r="B184" s="656"/>
      <c r="C184" s="656"/>
      <c r="D184" s="656"/>
      <c r="E184" s="657"/>
      <c r="F184" s="657"/>
    </row>
    <row r="185" spans="1:6" s="638" customFormat="1" ht="12.75">
      <c r="A185" s="655"/>
      <c r="B185" s="656"/>
      <c r="C185" s="656"/>
      <c r="D185" s="656"/>
      <c r="E185" s="657"/>
      <c r="F185" s="657"/>
    </row>
    <row r="186" spans="1:6" s="638" customFormat="1" ht="12.75">
      <c r="A186" s="655"/>
      <c r="B186" s="656"/>
      <c r="C186" s="653"/>
      <c r="D186" s="656"/>
      <c r="E186" s="657"/>
      <c r="F186" s="657"/>
    </row>
    <row r="187" spans="1:6" s="638" customFormat="1" ht="12.75">
      <c r="A187" s="658"/>
      <c r="B187" s="656"/>
      <c r="C187" s="656"/>
      <c r="D187" s="656"/>
      <c r="E187" s="657"/>
      <c r="F187" s="657"/>
    </row>
    <row r="188" spans="1:6" s="638" customFormat="1" ht="12.75">
      <c r="A188" s="655"/>
      <c r="B188" s="653"/>
      <c r="C188" s="656"/>
      <c r="D188" s="656"/>
      <c r="E188" s="657"/>
      <c r="F188" s="654"/>
    </row>
    <row r="189" spans="1:6" s="638" customFormat="1" ht="12.75">
      <c r="B189" s="637"/>
      <c r="C189" s="641"/>
      <c r="D189" s="641"/>
      <c r="E189" s="642"/>
      <c r="F189" s="642"/>
    </row>
    <row r="190" spans="1:6" s="638" customFormat="1" ht="12.75">
      <c r="B190" s="639"/>
      <c r="C190" s="641"/>
      <c r="D190" s="641"/>
      <c r="E190" s="642"/>
      <c r="F190" s="642"/>
    </row>
    <row r="191" spans="1:6" s="638" customFormat="1" ht="12.75">
      <c r="B191" s="641"/>
      <c r="C191" s="641"/>
      <c r="D191" s="641"/>
      <c r="E191" s="633"/>
      <c r="F191" s="642"/>
    </row>
    <row r="192" spans="1:6" s="638" customFormat="1" ht="12.75">
      <c r="A192" s="659"/>
      <c r="B192" s="659"/>
      <c r="C192" s="659"/>
      <c r="D192" s="659"/>
      <c r="E192" s="660"/>
      <c r="F192" s="660"/>
    </row>
    <row r="193" spans="1:6" s="612" customFormat="1">
      <c r="A193" s="661"/>
      <c r="B193" s="661"/>
      <c r="C193" s="661"/>
      <c r="D193" s="662"/>
      <c r="E193" s="663"/>
      <c r="F193" s="597"/>
    </row>
    <row r="194" spans="1:6" s="612" customFormat="1">
      <c r="A194" s="661"/>
      <c r="B194" s="661"/>
      <c r="C194" s="661"/>
      <c r="D194" s="661"/>
      <c r="E194" s="663"/>
      <c r="F194" s="597"/>
    </row>
    <row r="195" spans="1:6" s="612" customFormat="1">
      <c r="A195" s="661"/>
      <c r="B195" s="661"/>
      <c r="C195" s="661"/>
      <c r="D195" s="661"/>
      <c r="E195" s="663"/>
      <c r="F195" s="597"/>
    </row>
    <row r="196" spans="1:6" s="612" customFormat="1">
      <c r="A196" s="661"/>
      <c r="B196" s="661"/>
      <c r="C196" s="661"/>
      <c r="D196" s="661"/>
      <c r="E196" s="663"/>
      <c r="F196" s="597"/>
    </row>
    <row r="197" spans="1:6" s="612" customFormat="1">
      <c r="A197" s="661"/>
      <c r="B197" s="661"/>
      <c r="C197" s="661"/>
      <c r="D197" s="661"/>
      <c r="E197" s="663"/>
      <c r="F197" s="597"/>
    </row>
    <row r="198" spans="1:6" s="612" customFormat="1">
      <c r="A198" s="661"/>
      <c r="B198" s="661"/>
      <c r="C198" s="661"/>
      <c r="D198" s="661"/>
      <c r="E198" s="663"/>
      <c r="F198" s="597"/>
    </row>
    <row r="199" spans="1:6" s="612" customFormat="1">
      <c r="A199" s="661"/>
      <c r="B199" s="661"/>
      <c r="C199" s="661"/>
      <c r="D199" s="662"/>
      <c r="E199" s="663"/>
      <c r="F199" s="597"/>
    </row>
    <row r="200" spans="1:6" s="612" customFormat="1">
      <c r="A200" s="661"/>
      <c r="B200" s="661"/>
      <c r="C200" s="661"/>
      <c r="D200" s="662"/>
      <c r="E200" s="663"/>
      <c r="F200" s="597"/>
    </row>
    <row r="201" spans="1:6" s="612" customFormat="1">
      <c r="A201" s="661"/>
      <c r="B201" s="661"/>
      <c r="C201" s="661"/>
      <c r="D201" s="661"/>
      <c r="E201" s="663"/>
      <c r="F201" s="597"/>
    </row>
    <row r="202" spans="1:6" s="612" customFormat="1">
      <c r="A202" s="661"/>
      <c r="B202" s="661"/>
      <c r="C202" s="661"/>
      <c r="D202" s="661"/>
      <c r="E202" s="663"/>
      <c r="F202" s="597"/>
    </row>
    <row r="203" spans="1:6" s="612" customFormat="1">
      <c r="A203" s="661"/>
      <c r="B203" s="661"/>
      <c r="C203" s="661"/>
      <c r="D203" s="661"/>
      <c r="E203" s="663"/>
      <c r="F203" s="597"/>
    </row>
    <row r="204" spans="1:6" s="612" customFormat="1">
      <c r="A204" s="661"/>
      <c r="B204" s="661"/>
      <c r="C204" s="661"/>
      <c r="D204" s="662"/>
      <c r="E204" s="663"/>
      <c r="F204" s="597"/>
    </row>
    <row r="205" spans="1:6" s="612" customFormat="1">
      <c r="A205" s="661"/>
      <c r="B205" s="661"/>
      <c r="C205" s="661"/>
      <c r="D205" s="662"/>
      <c r="E205" s="663"/>
      <c r="F205" s="597"/>
    </row>
    <row r="206" spans="1:6" s="612" customFormat="1">
      <c r="A206" s="661"/>
      <c r="B206" s="661"/>
      <c r="C206" s="661"/>
      <c r="D206" s="662"/>
      <c r="E206" s="663"/>
      <c r="F206" s="597"/>
    </row>
    <row r="207" spans="1:6" s="612" customFormat="1">
      <c r="A207" s="661"/>
      <c r="B207" s="661"/>
      <c r="C207" s="661"/>
      <c r="D207" s="662"/>
      <c r="E207" s="663"/>
      <c r="F207" s="597"/>
    </row>
    <row r="208" spans="1:6" s="612" customFormat="1">
      <c r="A208" s="661"/>
      <c r="B208" s="661"/>
      <c r="C208" s="661"/>
      <c r="D208" s="662"/>
      <c r="E208" s="663"/>
      <c r="F208" s="597"/>
    </row>
    <row r="209" spans="1:6" s="612" customFormat="1">
      <c r="A209" s="661"/>
      <c r="B209" s="661"/>
      <c r="C209" s="661"/>
      <c r="D209" s="662"/>
      <c r="E209" s="663"/>
      <c r="F209" s="597"/>
    </row>
    <row r="210" spans="1:6" s="612" customFormat="1">
      <c r="A210" s="661"/>
      <c r="B210" s="661"/>
      <c r="C210" s="661"/>
      <c r="D210" s="661"/>
      <c r="E210" s="663"/>
      <c r="F210" s="597"/>
    </row>
    <row r="211" spans="1:6" s="612" customFormat="1">
      <c r="A211" s="661"/>
      <c r="B211" s="661"/>
      <c r="C211" s="661"/>
      <c r="D211" s="662"/>
      <c r="E211" s="663"/>
      <c r="F211" s="597"/>
    </row>
    <row r="212" spans="1:6" s="612" customFormat="1">
      <c r="A212" s="661"/>
      <c r="B212" s="661"/>
      <c r="C212" s="661"/>
      <c r="D212" s="661"/>
      <c r="E212" s="663"/>
      <c r="F212" s="597"/>
    </row>
    <row r="213" spans="1:6" s="612" customFormat="1">
      <c r="A213" s="661"/>
      <c r="B213" s="661"/>
      <c r="C213" s="661"/>
      <c r="D213" s="661"/>
      <c r="E213" s="663"/>
      <c r="F213" s="597"/>
    </row>
    <row r="214" spans="1:6" s="612" customFormat="1">
      <c r="A214" s="661"/>
      <c r="B214" s="661"/>
      <c r="C214" s="661"/>
      <c r="D214" s="662"/>
      <c r="E214" s="663"/>
      <c r="F214" s="597"/>
    </row>
    <row r="215" spans="1:6" s="612" customFormat="1">
      <c r="A215" s="661"/>
      <c r="B215" s="661"/>
      <c r="C215" s="661"/>
      <c r="D215" s="662"/>
      <c r="E215" s="663"/>
      <c r="F215" s="597"/>
    </row>
    <row r="216" spans="1:6" s="612" customFormat="1">
      <c r="A216" s="661"/>
      <c r="B216" s="661"/>
      <c r="C216" s="661"/>
      <c r="D216" s="661"/>
      <c r="E216" s="663"/>
      <c r="F216" s="597"/>
    </row>
    <row r="217" spans="1:6" s="612" customFormat="1">
      <c r="A217" s="661"/>
      <c r="B217" s="661"/>
      <c r="C217" s="661"/>
      <c r="D217" s="661"/>
      <c r="E217" s="663"/>
      <c r="F217" s="597"/>
    </row>
    <row r="218" spans="1:6" s="612" customFormat="1">
      <c r="A218" s="661"/>
      <c r="B218" s="661"/>
      <c r="C218" s="661"/>
      <c r="D218" s="661"/>
      <c r="E218" s="663"/>
      <c r="F218" s="597"/>
    </row>
    <row r="219" spans="1:6" s="612" customFormat="1">
      <c r="A219" s="661"/>
      <c r="B219" s="661"/>
      <c r="C219" s="661"/>
      <c r="D219" s="662"/>
      <c r="E219" s="663"/>
      <c r="F219" s="597"/>
    </row>
    <row r="220" spans="1:6" s="612" customFormat="1">
      <c r="A220" s="661"/>
      <c r="B220" s="661"/>
      <c r="C220" s="661"/>
      <c r="D220" s="664"/>
      <c r="E220" s="663"/>
      <c r="F220" s="597"/>
    </row>
    <row r="221" spans="1:6" s="612" customFormat="1">
      <c r="A221" s="661"/>
      <c r="B221" s="661"/>
      <c r="C221" s="661"/>
      <c r="D221" s="662"/>
      <c r="E221" s="663"/>
      <c r="F221" s="597"/>
    </row>
    <row r="222" spans="1:6" s="612" customFormat="1">
      <c r="A222" s="661"/>
      <c r="B222" s="661"/>
      <c r="C222" s="661"/>
      <c r="D222" s="662"/>
      <c r="E222" s="663"/>
      <c r="F222" s="597"/>
    </row>
    <row r="223" spans="1:6" s="612" customFormat="1">
      <c r="A223" s="661"/>
      <c r="B223" s="661"/>
      <c r="C223" s="661"/>
      <c r="D223" s="662"/>
      <c r="E223" s="663"/>
      <c r="F223" s="597"/>
    </row>
    <row r="224" spans="1:6" s="612" customFormat="1">
      <c r="A224" s="661"/>
      <c r="B224" s="661"/>
      <c r="C224" s="661"/>
      <c r="D224" s="662"/>
      <c r="E224" s="663"/>
      <c r="F224" s="597"/>
    </row>
    <row r="225" spans="1:6" s="612" customFormat="1" ht="15.75">
      <c r="A225" s="1362"/>
      <c r="B225" s="1363"/>
      <c r="C225" s="1363"/>
      <c r="D225" s="661"/>
      <c r="E225" s="663"/>
      <c r="F225" s="611"/>
    </row>
    <row r="226" spans="1:6" s="612" customFormat="1">
      <c r="B226" s="596"/>
      <c r="C226" s="596"/>
      <c r="D226" s="596"/>
      <c r="E226" s="597"/>
      <c r="F226" s="597"/>
    </row>
    <row r="227" spans="1:6" s="612" customFormat="1">
      <c r="B227" s="596"/>
      <c r="C227" s="596"/>
      <c r="D227" s="596"/>
      <c r="E227" s="597"/>
      <c r="F227" s="597"/>
    </row>
    <row r="228" spans="1:6" s="621" customFormat="1">
      <c r="A228" s="665"/>
      <c r="B228" s="665"/>
      <c r="C228" s="1364"/>
      <c r="D228" s="1364"/>
      <c r="E228" s="666"/>
      <c r="F228" s="666"/>
    </row>
    <row r="229" spans="1:6" s="621" customFormat="1">
      <c r="A229" s="1364"/>
      <c r="B229" s="1364"/>
      <c r="C229" s="1364"/>
      <c r="D229" s="1364"/>
      <c r="E229" s="1364"/>
      <c r="F229" s="1364"/>
    </row>
    <row r="230" spans="1:6" s="621" customFormat="1" ht="14.25">
      <c r="A230" s="1365"/>
      <c r="B230" s="1357"/>
      <c r="C230" s="1357"/>
      <c r="D230" s="1357"/>
      <c r="E230" s="667"/>
      <c r="F230" s="667"/>
    </row>
    <row r="231" spans="1:6" s="621" customFormat="1" ht="14.25">
      <c r="A231" s="1365"/>
      <c r="B231" s="1357"/>
      <c r="C231" s="1357"/>
      <c r="D231" s="1357"/>
      <c r="E231" s="667"/>
      <c r="F231" s="667"/>
    </row>
    <row r="232" spans="1:6" s="621" customFormat="1" ht="14.25">
      <c r="A232" s="1365"/>
      <c r="B232" s="1357"/>
      <c r="C232" s="1357"/>
      <c r="D232" s="1357"/>
      <c r="E232" s="667"/>
      <c r="F232" s="667"/>
    </row>
    <row r="233" spans="1:6" s="621" customFormat="1" ht="14.25">
      <c r="A233" s="668"/>
      <c r="B233" s="669"/>
      <c r="C233" s="1357"/>
      <c r="D233" s="1357"/>
      <c r="E233" s="667"/>
      <c r="F233" s="667"/>
    </row>
    <row r="234" spans="1:6" s="621" customFormat="1">
      <c r="A234" s="627"/>
      <c r="B234" s="670"/>
      <c r="C234" s="1358"/>
      <c r="D234" s="1358"/>
      <c r="E234" s="671"/>
      <c r="F234" s="671"/>
    </row>
    <row r="235" spans="1:6" s="621" customFormat="1">
      <c r="A235" s="1355"/>
      <c r="B235" s="1355"/>
      <c r="C235" s="1355"/>
      <c r="D235" s="1355"/>
      <c r="E235" s="1355"/>
      <c r="F235" s="1355"/>
    </row>
    <row r="236" spans="1:6" s="621" customFormat="1" ht="14.25">
      <c r="A236" s="668"/>
      <c r="B236" s="669"/>
      <c r="C236" s="1357"/>
      <c r="D236" s="1357"/>
      <c r="E236" s="667"/>
      <c r="F236" s="667"/>
    </row>
    <row r="237" spans="1:6" s="621" customFormat="1" ht="14.25">
      <c r="A237" s="668"/>
      <c r="B237" s="669"/>
      <c r="C237" s="1357"/>
      <c r="D237" s="1357"/>
      <c r="E237" s="667"/>
      <c r="F237" s="667"/>
    </row>
    <row r="238" spans="1:6" s="621" customFormat="1" ht="14.25">
      <c r="A238" s="668"/>
      <c r="B238" s="669"/>
      <c r="C238" s="1357"/>
      <c r="D238" s="1357"/>
      <c r="E238" s="667"/>
      <c r="F238" s="667"/>
    </row>
    <row r="239" spans="1:6" s="621" customFormat="1">
      <c r="A239" s="627"/>
      <c r="B239" s="670"/>
      <c r="C239" s="1358"/>
      <c r="D239" s="1358"/>
      <c r="E239" s="671"/>
      <c r="F239" s="671"/>
    </row>
    <row r="240" spans="1:6" s="621" customFormat="1">
      <c r="A240" s="1355"/>
      <c r="B240" s="1355"/>
      <c r="C240" s="1355"/>
      <c r="D240" s="1355"/>
      <c r="E240" s="1355"/>
      <c r="F240" s="1355"/>
    </row>
    <row r="241" spans="1:6" s="621" customFormat="1" ht="14.25">
      <c r="A241" s="668"/>
      <c r="B241" s="669"/>
      <c r="C241" s="1357"/>
      <c r="D241" s="1357"/>
      <c r="E241" s="667"/>
      <c r="F241" s="667"/>
    </row>
    <row r="242" spans="1:6" s="621" customFormat="1" ht="14.25">
      <c r="A242" s="1359"/>
      <c r="B242" s="669"/>
      <c r="C242" s="1357"/>
      <c r="D242" s="1357"/>
      <c r="E242" s="1360"/>
      <c r="F242" s="1360"/>
    </row>
    <row r="243" spans="1:6" s="621" customFormat="1" ht="14.25">
      <c r="A243" s="1359"/>
      <c r="B243" s="669"/>
      <c r="C243" s="1357"/>
      <c r="D243" s="1357"/>
      <c r="E243" s="1360"/>
      <c r="F243" s="1360"/>
    </row>
    <row r="244" spans="1:6" s="621" customFormat="1" ht="14.25">
      <c r="A244" s="1359"/>
      <c r="B244" s="669"/>
      <c r="C244" s="1357"/>
      <c r="D244" s="1357"/>
      <c r="E244" s="1360"/>
      <c r="F244" s="1360"/>
    </row>
    <row r="245" spans="1:6" s="621" customFormat="1" ht="14.25">
      <c r="A245" s="1359"/>
      <c r="B245" s="669"/>
      <c r="C245" s="1357"/>
      <c r="D245" s="1357"/>
      <c r="E245" s="1360"/>
      <c r="F245" s="1360"/>
    </row>
    <row r="246" spans="1:6" s="621" customFormat="1" ht="14.25">
      <c r="A246" s="627"/>
      <c r="B246" s="669"/>
      <c r="C246" s="1357"/>
      <c r="D246" s="1357"/>
      <c r="E246" s="667"/>
      <c r="F246" s="667"/>
    </row>
    <row r="247" spans="1:6" s="621" customFormat="1">
      <c r="A247" s="627"/>
      <c r="B247" s="670"/>
      <c r="C247" s="1358"/>
      <c r="D247" s="1358"/>
      <c r="E247" s="671"/>
      <c r="F247" s="671"/>
    </row>
    <row r="248" spans="1:6" s="621" customFormat="1">
      <c r="A248" s="1355"/>
      <c r="B248" s="1355"/>
      <c r="C248" s="1355"/>
      <c r="D248" s="1355"/>
      <c r="E248" s="1355"/>
      <c r="F248" s="1355"/>
    </row>
    <row r="249" spans="1:6" s="621" customFormat="1" ht="14.25">
      <c r="A249" s="668"/>
      <c r="B249" s="669"/>
      <c r="C249" s="1357"/>
      <c r="D249" s="1357"/>
      <c r="E249" s="667"/>
      <c r="F249" s="667"/>
    </row>
    <row r="250" spans="1:6" s="621" customFormat="1" ht="14.25">
      <c r="A250" s="668"/>
      <c r="B250" s="669"/>
      <c r="C250" s="1358"/>
      <c r="D250" s="1358"/>
      <c r="E250" s="667"/>
      <c r="F250" s="667"/>
    </row>
    <row r="251" spans="1:6" s="621" customFormat="1" ht="14.25">
      <c r="A251" s="668"/>
      <c r="B251" s="669"/>
      <c r="C251" s="1358"/>
      <c r="D251" s="1358"/>
      <c r="E251" s="667"/>
      <c r="F251" s="671"/>
    </row>
    <row r="252" spans="1:6" s="621" customFormat="1" ht="14.25">
      <c r="A252" s="668"/>
      <c r="B252" s="669"/>
      <c r="C252" s="1358"/>
      <c r="D252" s="1358"/>
      <c r="E252" s="667"/>
      <c r="F252" s="671"/>
    </row>
    <row r="253" spans="1:6" s="621" customFormat="1" ht="14.25">
      <c r="A253" s="668"/>
      <c r="B253" s="669"/>
      <c r="C253" s="1358"/>
      <c r="D253" s="1358"/>
      <c r="E253" s="667"/>
      <c r="F253" s="671"/>
    </row>
    <row r="254" spans="1:6" s="621" customFormat="1">
      <c r="A254" s="627"/>
      <c r="B254" s="670"/>
      <c r="C254" s="1358"/>
      <c r="D254" s="1358"/>
      <c r="E254" s="671"/>
      <c r="F254" s="671"/>
    </row>
    <row r="255" spans="1:6" s="621" customFormat="1">
      <c r="A255" s="1355"/>
      <c r="B255" s="1355"/>
      <c r="C255" s="1355"/>
      <c r="D255" s="1355"/>
      <c r="E255" s="1355"/>
      <c r="F255" s="1355"/>
    </row>
    <row r="256" spans="1:6" s="621" customFormat="1" ht="14.25">
      <c r="A256" s="668"/>
      <c r="B256" s="669"/>
      <c r="C256" s="1357"/>
      <c r="D256" s="1357"/>
      <c r="E256" s="667"/>
      <c r="F256" s="667"/>
    </row>
    <row r="257" spans="1:6" s="621" customFormat="1">
      <c r="A257" s="627"/>
      <c r="B257" s="670"/>
      <c r="C257" s="1358"/>
      <c r="D257" s="1358"/>
      <c r="E257" s="671"/>
      <c r="F257" s="671"/>
    </row>
    <row r="258" spans="1:6" s="621" customFormat="1">
      <c r="A258" s="1355"/>
      <c r="B258" s="1355"/>
      <c r="C258" s="1355"/>
      <c r="D258" s="1355"/>
      <c r="E258" s="1355"/>
      <c r="F258" s="1355"/>
    </row>
    <row r="259" spans="1:6" s="621" customFormat="1" ht="14.25">
      <c r="A259" s="668"/>
      <c r="B259" s="1357"/>
      <c r="C259" s="1357"/>
      <c r="D259" s="669"/>
      <c r="E259" s="667"/>
      <c r="F259" s="667"/>
    </row>
    <row r="260" spans="1:6" s="621" customFormat="1">
      <c r="A260" s="627"/>
      <c r="B260" s="1355"/>
      <c r="C260" s="1355"/>
      <c r="D260" s="672"/>
      <c r="E260" s="671"/>
      <c r="F260" s="671"/>
    </row>
    <row r="261" spans="1:6" s="621" customFormat="1">
      <c r="A261" s="627"/>
      <c r="B261" s="1355"/>
      <c r="C261" s="1355"/>
      <c r="D261" s="672"/>
      <c r="E261" s="671"/>
      <c r="F261" s="671"/>
    </row>
    <row r="262" spans="1:6" s="621" customFormat="1" ht="14.25">
      <c r="A262" s="673"/>
      <c r="B262" s="661"/>
      <c r="C262" s="661"/>
      <c r="D262" s="661"/>
      <c r="E262" s="663"/>
      <c r="F262" s="663"/>
    </row>
    <row r="263" spans="1:6" s="621" customFormat="1" ht="14.25">
      <c r="A263" s="674"/>
      <c r="B263" s="675"/>
      <c r="C263" s="675"/>
      <c r="D263" s="675"/>
      <c r="E263" s="620"/>
      <c r="F263" s="620"/>
    </row>
    <row r="264" spans="1:6" s="621" customFormat="1">
      <c r="A264" s="1356"/>
      <c r="B264" s="1356"/>
      <c r="C264" s="1356"/>
      <c r="D264" s="1356"/>
      <c r="E264" s="1356"/>
      <c r="F264" s="1356"/>
    </row>
    <row r="265" spans="1:6" s="621" customFormat="1" ht="14.25">
      <c r="A265" s="675"/>
      <c r="B265" s="675"/>
      <c r="C265" s="675"/>
      <c r="D265" s="675"/>
      <c r="E265" s="620"/>
      <c r="F265" s="620"/>
    </row>
    <row r="266" spans="1:6" s="621" customFormat="1" ht="14.25">
      <c r="A266" s="676"/>
      <c r="B266" s="677"/>
      <c r="C266" s="677"/>
      <c r="D266" s="677"/>
      <c r="E266" s="678"/>
      <c r="F266" s="678"/>
    </row>
    <row r="267" spans="1:6" s="621" customFormat="1" ht="14.25">
      <c r="A267" s="676"/>
      <c r="B267" s="677"/>
      <c r="C267" s="677"/>
      <c r="D267" s="677"/>
      <c r="E267" s="678"/>
      <c r="F267" s="678"/>
    </row>
    <row r="268" spans="1:6" s="621" customFormat="1" ht="14.25">
      <c r="A268" s="676"/>
      <c r="B268" s="677"/>
      <c r="C268" s="677"/>
      <c r="D268" s="677"/>
      <c r="E268" s="678"/>
      <c r="F268" s="678"/>
    </row>
    <row r="269" spans="1:6" s="621" customFormat="1">
      <c r="A269" s="676"/>
      <c r="B269" s="677"/>
      <c r="C269" s="677"/>
      <c r="D269" s="677"/>
      <c r="E269" s="678"/>
      <c r="F269" s="679"/>
    </row>
    <row r="270" spans="1:6" s="621" customFormat="1" ht="14.25">
      <c r="A270" s="676"/>
      <c r="B270" s="677"/>
      <c r="C270" s="677"/>
      <c r="D270" s="677"/>
      <c r="E270" s="678"/>
      <c r="F270" s="678"/>
    </row>
    <row r="271" spans="1:6" s="621" customFormat="1">
      <c r="A271" s="676"/>
      <c r="B271" s="677"/>
      <c r="C271" s="677"/>
      <c r="D271" s="677"/>
      <c r="E271" s="678"/>
      <c r="F271" s="679"/>
    </row>
    <row r="272" spans="1:6" s="621" customFormat="1">
      <c r="A272" s="676"/>
      <c r="B272" s="677"/>
      <c r="C272" s="677"/>
      <c r="D272" s="677"/>
      <c r="E272" s="679"/>
      <c r="F272" s="679"/>
    </row>
    <row r="273" spans="1:6" s="621" customFormat="1" ht="14.25">
      <c r="A273" s="674"/>
      <c r="B273" s="675"/>
      <c r="C273" s="675"/>
      <c r="D273" s="675"/>
      <c r="E273" s="620"/>
      <c r="F273" s="620"/>
    </row>
    <row r="274" spans="1:6" s="621" customFormat="1" ht="14.25">
      <c r="A274" s="675"/>
      <c r="B274" s="675"/>
      <c r="C274" s="675"/>
      <c r="D274" s="675"/>
      <c r="E274" s="620"/>
      <c r="F274" s="620"/>
    </row>
    <row r="275" spans="1:6" s="621" customFormat="1" ht="14.25">
      <c r="A275" s="676"/>
      <c r="B275" s="677"/>
      <c r="C275" s="677"/>
      <c r="D275" s="677"/>
      <c r="E275" s="678"/>
      <c r="F275" s="678"/>
    </row>
    <row r="276" spans="1:6" s="621" customFormat="1" ht="14.25">
      <c r="A276" s="676"/>
      <c r="B276" s="677"/>
      <c r="C276" s="677"/>
      <c r="D276" s="677"/>
      <c r="E276" s="678"/>
      <c r="F276" s="678"/>
    </row>
    <row r="277" spans="1:6" s="621" customFormat="1" ht="14.25">
      <c r="A277" s="676"/>
      <c r="B277" s="677"/>
      <c r="C277" s="677"/>
      <c r="D277" s="677"/>
      <c r="E277" s="678"/>
      <c r="F277" s="678"/>
    </row>
    <row r="278" spans="1:6" s="621" customFormat="1">
      <c r="A278" s="676"/>
      <c r="B278" s="677"/>
      <c r="C278" s="677"/>
      <c r="D278" s="677"/>
      <c r="E278" s="678"/>
      <c r="F278" s="679"/>
    </row>
    <row r="279" spans="1:6" s="621" customFormat="1" ht="14.25">
      <c r="A279" s="1351"/>
      <c r="B279" s="1352"/>
      <c r="C279" s="1352"/>
      <c r="D279" s="1352"/>
      <c r="E279" s="1353"/>
      <c r="F279" s="1353"/>
    </row>
    <row r="280" spans="1:6" s="621" customFormat="1" ht="14.25">
      <c r="A280" s="1351"/>
      <c r="B280" s="1352"/>
      <c r="C280" s="1352"/>
      <c r="D280" s="1352"/>
      <c r="E280" s="1353"/>
      <c r="F280" s="1353"/>
    </row>
    <row r="281" spans="1:6" s="621" customFormat="1" ht="14.25">
      <c r="A281" s="1351"/>
      <c r="B281" s="1352"/>
      <c r="C281" s="1352"/>
      <c r="D281" s="1352"/>
      <c r="E281" s="1353"/>
      <c r="F281" s="1354"/>
    </row>
    <row r="282" spans="1:6" s="621" customFormat="1" ht="14.25">
      <c r="A282" s="1351"/>
      <c r="B282" s="1352"/>
      <c r="C282" s="1352"/>
      <c r="D282" s="1352"/>
      <c r="E282" s="1353"/>
      <c r="F282" s="1354"/>
    </row>
    <row r="283" spans="1:6" s="621" customFormat="1">
      <c r="A283" s="676"/>
      <c r="B283" s="677"/>
      <c r="C283" s="677"/>
      <c r="D283" s="677"/>
      <c r="E283" s="679"/>
      <c r="F283" s="679"/>
    </row>
    <row r="284" spans="1:6" s="621" customFormat="1" ht="14.25">
      <c r="A284" s="674"/>
      <c r="B284" s="675"/>
      <c r="C284" s="675"/>
      <c r="D284" s="675"/>
      <c r="E284" s="620"/>
      <c r="F284" s="620"/>
    </row>
    <row r="285" spans="1:6" s="621" customFormat="1" ht="14.25">
      <c r="A285" s="675"/>
      <c r="B285" s="675"/>
      <c r="C285" s="675"/>
      <c r="D285" s="675"/>
      <c r="E285" s="620"/>
      <c r="F285" s="620"/>
    </row>
    <row r="286" spans="1:6" s="621" customFormat="1" ht="14.25">
      <c r="A286" s="676"/>
      <c r="B286" s="677"/>
      <c r="C286" s="677"/>
      <c r="D286" s="677"/>
      <c r="E286" s="678"/>
      <c r="F286" s="678"/>
    </row>
    <row r="287" spans="1:6" s="621" customFormat="1" ht="14.25">
      <c r="A287" s="676"/>
      <c r="B287" s="677"/>
      <c r="C287" s="677"/>
      <c r="D287" s="677"/>
      <c r="E287" s="678"/>
      <c r="F287" s="678"/>
    </row>
    <row r="288" spans="1:6" s="621" customFormat="1" ht="14.25">
      <c r="A288" s="676"/>
      <c r="B288" s="677"/>
      <c r="C288" s="677"/>
      <c r="D288" s="677"/>
      <c r="E288" s="678"/>
      <c r="F288" s="678"/>
    </row>
    <row r="289" spans="1:6" s="621" customFormat="1">
      <c r="A289" s="676"/>
      <c r="B289" s="677"/>
      <c r="C289" s="677"/>
      <c r="D289" s="677"/>
      <c r="E289" s="678"/>
      <c r="F289" s="679"/>
    </row>
    <row r="290" spans="1:6" s="621" customFormat="1" ht="14.25">
      <c r="A290" s="676"/>
      <c r="B290" s="677"/>
      <c r="C290" s="677"/>
      <c r="D290" s="677"/>
      <c r="E290" s="678"/>
      <c r="F290" s="678"/>
    </row>
    <row r="291" spans="1:6" s="621" customFormat="1">
      <c r="A291" s="676"/>
      <c r="B291" s="677"/>
      <c r="C291" s="677"/>
      <c r="D291" s="677"/>
      <c r="E291" s="678"/>
      <c r="F291" s="679"/>
    </row>
    <row r="292" spans="1:6" s="621" customFormat="1">
      <c r="A292" s="676"/>
      <c r="B292" s="677"/>
      <c r="C292" s="677"/>
      <c r="D292" s="677"/>
      <c r="E292" s="679"/>
      <c r="F292" s="679"/>
    </row>
    <row r="293" spans="1:6" s="621" customFormat="1" ht="14.25">
      <c r="A293" s="674"/>
      <c r="B293" s="675"/>
      <c r="C293" s="675"/>
      <c r="D293" s="675"/>
      <c r="E293" s="620"/>
      <c r="F293" s="620"/>
    </row>
    <row r="294" spans="1:6" s="621" customFormat="1" ht="14.25">
      <c r="A294" s="674"/>
      <c r="B294" s="675"/>
      <c r="C294" s="675"/>
      <c r="D294" s="675"/>
      <c r="E294" s="620"/>
      <c r="F294" s="620"/>
    </row>
    <row r="295" spans="1:6" s="612" customFormat="1">
      <c r="B295" s="596"/>
      <c r="C295" s="596"/>
      <c r="D295" s="596"/>
      <c r="E295" s="597"/>
      <c r="F295" s="597"/>
    </row>
    <row r="296" spans="1:6" s="612" customFormat="1">
      <c r="B296" s="596"/>
      <c r="C296" s="596"/>
      <c r="D296" s="596"/>
      <c r="E296" s="597"/>
      <c r="F296" s="597"/>
    </row>
    <row r="297" spans="1:6" s="612" customFormat="1">
      <c r="B297" s="596"/>
      <c r="C297" s="596"/>
      <c r="D297" s="596"/>
      <c r="E297" s="597"/>
      <c r="F297" s="597"/>
    </row>
    <row r="298" spans="1:6" s="612" customFormat="1">
      <c r="A298" s="1350"/>
      <c r="B298" s="1350"/>
      <c r="C298" s="1350"/>
      <c r="D298" s="1350"/>
      <c r="E298" s="1350"/>
      <c r="F298" s="1350"/>
    </row>
    <row r="299" spans="1:6" s="612" customFormat="1">
      <c r="B299" s="596"/>
      <c r="C299" s="596"/>
      <c r="D299" s="596"/>
      <c r="E299" s="597"/>
      <c r="F299" s="597"/>
    </row>
    <row r="300" spans="1:6" s="612" customFormat="1">
      <c r="B300" s="596"/>
      <c r="C300" s="596"/>
      <c r="D300" s="596"/>
      <c r="E300" s="597"/>
      <c r="F300" s="597"/>
    </row>
    <row r="301" spans="1:6" s="612" customFormat="1">
      <c r="B301" s="596"/>
      <c r="C301" s="596"/>
      <c r="D301" s="596"/>
      <c r="E301" s="597"/>
      <c r="F301" s="597"/>
    </row>
    <row r="302" spans="1:6" s="612" customFormat="1">
      <c r="B302" s="596"/>
      <c r="C302" s="596"/>
      <c r="D302" s="596"/>
      <c r="E302" s="597"/>
      <c r="F302" s="597"/>
    </row>
    <row r="303" spans="1:6" s="612" customFormat="1">
      <c r="B303" s="596"/>
      <c r="C303" s="596"/>
      <c r="D303" s="596"/>
      <c r="E303" s="597"/>
      <c r="F303" s="597"/>
    </row>
    <row r="304" spans="1:6" s="612" customFormat="1">
      <c r="B304" s="596"/>
      <c r="C304" s="596"/>
      <c r="D304" s="596"/>
      <c r="E304" s="597"/>
      <c r="F304" s="597"/>
    </row>
    <row r="305" spans="2:6" s="612" customFormat="1">
      <c r="B305" s="596"/>
      <c r="C305" s="596"/>
      <c r="D305" s="596"/>
      <c r="E305" s="597"/>
      <c r="F305" s="597"/>
    </row>
    <row r="306" spans="2:6" s="612" customFormat="1">
      <c r="B306" s="596"/>
      <c r="C306" s="596"/>
      <c r="D306" s="596"/>
      <c r="E306" s="597"/>
      <c r="F306" s="597"/>
    </row>
    <row r="307" spans="2:6" s="612" customFormat="1">
      <c r="B307" s="596"/>
      <c r="C307" s="596"/>
      <c r="D307" s="596"/>
      <c r="E307" s="597"/>
      <c r="F307" s="597"/>
    </row>
    <row r="308" spans="2:6" s="612" customFormat="1">
      <c r="B308" s="596"/>
      <c r="C308" s="596"/>
      <c r="D308" s="596"/>
      <c r="E308" s="597"/>
      <c r="F308" s="597"/>
    </row>
    <row r="309" spans="2:6" s="612" customFormat="1">
      <c r="B309" s="596"/>
      <c r="C309" s="596"/>
      <c r="D309" s="596"/>
      <c r="E309" s="597"/>
      <c r="F309" s="597"/>
    </row>
    <row r="310" spans="2:6" s="612" customFormat="1">
      <c r="B310" s="596"/>
      <c r="C310" s="596"/>
      <c r="D310" s="596"/>
      <c r="E310" s="597"/>
      <c r="F310" s="597"/>
    </row>
    <row r="311" spans="2:6" s="612" customFormat="1">
      <c r="B311" s="596"/>
      <c r="C311" s="596"/>
      <c r="D311" s="596"/>
      <c r="E311" s="597"/>
      <c r="F311" s="597"/>
    </row>
    <row r="312" spans="2:6" s="612" customFormat="1">
      <c r="B312" s="596"/>
      <c r="C312" s="596"/>
      <c r="D312" s="596"/>
      <c r="E312" s="597"/>
      <c r="F312" s="597"/>
    </row>
    <row r="313" spans="2:6" s="612" customFormat="1">
      <c r="B313" s="596"/>
      <c r="C313" s="596"/>
      <c r="D313" s="596"/>
      <c r="E313" s="597"/>
      <c r="F313" s="597"/>
    </row>
    <row r="314" spans="2:6" s="612" customFormat="1">
      <c r="B314" s="596"/>
      <c r="C314" s="596"/>
      <c r="D314" s="596"/>
      <c r="E314" s="597"/>
      <c r="F314" s="597"/>
    </row>
    <row r="315" spans="2:6" s="612" customFormat="1">
      <c r="B315" s="596"/>
      <c r="C315" s="596"/>
      <c r="D315" s="596"/>
      <c r="E315" s="597"/>
      <c r="F315" s="597"/>
    </row>
    <row r="316" spans="2:6" s="612" customFormat="1">
      <c r="B316" s="596"/>
      <c r="C316" s="596"/>
      <c r="D316" s="596"/>
      <c r="E316" s="597"/>
      <c r="F316" s="597"/>
    </row>
    <row r="317" spans="2:6" s="612" customFormat="1">
      <c r="B317" s="596"/>
      <c r="C317" s="596"/>
      <c r="D317" s="596"/>
      <c r="E317" s="597"/>
      <c r="F317" s="597"/>
    </row>
  </sheetData>
  <mergeCells count="75">
    <mergeCell ref="A89:E89"/>
    <mergeCell ref="B2:E2"/>
    <mergeCell ref="A4:B4"/>
    <mergeCell ref="B28:D28"/>
    <mergeCell ref="B30:C30"/>
    <mergeCell ref="A41:C41"/>
    <mergeCell ref="B43:C43"/>
    <mergeCell ref="A45:A47"/>
    <mergeCell ref="A50:A51"/>
    <mergeCell ref="A57:A58"/>
    <mergeCell ref="A62:B62"/>
    <mergeCell ref="A87:B87"/>
    <mergeCell ref="A110:E110"/>
    <mergeCell ref="B116:C116"/>
    <mergeCell ref="A165:B165"/>
    <mergeCell ref="A177:A183"/>
    <mergeCell ref="B177:B183"/>
    <mergeCell ref="D177:D183"/>
    <mergeCell ref="E177:E183"/>
    <mergeCell ref="C238:D238"/>
    <mergeCell ref="F177:F183"/>
    <mergeCell ref="A225:C225"/>
    <mergeCell ref="C228:D228"/>
    <mergeCell ref="A229:F229"/>
    <mergeCell ref="A230:A232"/>
    <mergeCell ref="B230:B232"/>
    <mergeCell ref="C230:D230"/>
    <mergeCell ref="C231:D231"/>
    <mergeCell ref="C232:D232"/>
    <mergeCell ref="C233:D233"/>
    <mergeCell ref="C234:D234"/>
    <mergeCell ref="A235:F235"/>
    <mergeCell ref="C236:D236"/>
    <mergeCell ref="C237:D237"/>
    <mergeCell ref="C247:D247"/>
    <mergeCell ref="C239:D239"/>
    <mergeCell ref="A240:F240"/>
    <mergeCell ref="C241:D241"/>
    <mergeCell ref="A242:A243"/>
    <mergeCell ref="C242:D243"/>
    <mergeCell ref="E242:E243"/>
    <mergeCell ref="F242:F243"/>
    <mergeCell ref="A244:A245"/>
    <mergeCell ref="C244:D245"/>
    <mergeCell ref="E244:E245"/>
    <mergeCell ref="F244:F245"/>
    <mergeCell ref="C246:D246"/>
    <mergeCell ref="B259:C259"/>
    <mergeCell ref="A248:F248"/>
    <mergeCell ref="C249:D249"/>
    <mergeCell ref="C250:D250"/>
    <mergeCell ref="C251:D251"/>
    <mergeCell ref="C252:D252"/>
    <mergeCell ref="C253:D253"/>
    <mergeCell ref="C254:D254"/>
    <mergeCell ref="A255:F255"/>
    <mergeCell ref="C256:D256"/>
    <mergeCell ref="C257:D257"/>
    <mergeCell ref="A258:F258"/>
    <mergeCell ref="B260:C260"/>
    <mergeCell ref="B261:C261"/>
    <mergeCell ref="A264:F264"/>
    <mergeCell ref="A279:A280"/>
    <mergeCell ref="B279:B280"/>
    <mergeCell ref="C279:C280"/>
    <mergeCell ref="D279:D280"/>
    <mergeCell ref="E279:E280"/>
    <mergeCell ref="F279:F280"/>
    <mergeCell ref="A298:F298"/>
    <mergeCell ref="A281:A282"/>
    <mergeCell ref="B281:B282"/>
    <mergeCell ref="C281:C282"/>
    <mergeCell ref="D281:D282"/>
    <mergeCell ref="E281:E282"/>
    <mergeCell ref="F281:F28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B2" sqref="B2"/>
    </sheetView>
  </sheetViews>
  <sheetFormatPr defaultRowHeight="13.5"/>
  <cols>
    <col min="1" max="1" width="5" style="32" customWidth="1"/>
    <col min="2" max="2" width="31.42578125" style="32" customWidth="1"/>
    <col min="3" max="3" width="10" style="32" customWidth="1"/>
    <col min="4" max="4" width="13.140625" style="32" customWidth="1"/>
    <col min="5" max="5" width="21.42578125" style="32" customWidth="1"/>
    <col min="6" max="6" width="75" style="32" customWidth="1"/>
    <col min="7" max="16384" width="9.140625" style="32"/>
  </cols>
  <sheetData>
    <row r="1" spans="1:6">
      <c r="A1" s="35"/>
      <c r="B1" s="1379" t="s">
        <v>1193</v>
      </c>
      <c r="C1" s="1379"/>
      <c r="D1" s="1379"/>
      <c r="E1" s="35"/>
    </row>
    <row r="2" spans="1:6">
      <c r="A2" s="35"/>
      <c r="B2" s="35"/>
      <c r="C2" s="35"/>
      <c r="D2" s="35"/>
      <c r="E2" s="35"/>
    </row>
    <row r="3" spans="1:6">
      <c r="A3" s="1380" t="s">
        <v>451</v>
      </c>
      <c r="B3" s="1380"/>
      <c r="C3" s="35"/>
      <c r="D3" s="35"/>
      <c r="E3" s="35"/>
    </row>
    <row r="4" spans="1:6">
      <c r="A4" s="35"/>
      <c r="B4" s="35"/>
      <c r="C4" s="35"/>
      <c r="D4" s="35"/>
      <c r="E4" s="35"/>
    </row>
    <row r="5" spans="1:6">
      <c r="A5" s="35"/>
      <c r="B5" s="36" t="s">
        <v>93</v>
      </c>
      <c r="C5" s="35"/>
      <c r="D5" s="35"/>
      <c r="E5" s="35"/>
    </row>
    <row r="6" spans="1:6">
      <c r="A6" s="35"/>
      <c r="B6" s="37"/>
      <c r="C6" s="37"/>
      <c r="D6" s="37"/>
      <c r="E6" s="37"/>
    </row>
    <row r="7" spans="1:6" ht="24">
      <c r="A7" s="38" t="s">
        <v>1</v>
      </c>
      <c r="B7" s="38" t="s">
        <v>325</v>
      </c>
      <c r="C7" s="38" t="s">
        <v>327</v>
      </c>
      <c r="D7" s="38" t="s">
        <v>166</v>
      </c>
      <c r="E7" s="38" t="s">
        <v>328</v>
      </c>
      <c r="F7" s="38" t="s">
        <v>326</v>
      </c>
    </row>
    <row r="8" spans="1:6" ht="36">
      <c r="A8" s="39">
        <v>1</v>
      </c>
      <c r="B8" s="40" t="s">
        <v>329</v>
      </c>
      <c r="C8" s="8">
        <v>85</v>
      </c>
      <c r="D8" s="41">
        <v>12500</v>
      </c>
      <c r="E8" s="41">
        <f t="shared" ref="E8:E13" si="0">+D8*C8</f>
        <v>1062500</v>
      </c>
      <c r="F8" s="40" t="s">
        <v>330</v>
      </c>
    </row>
    <row r="9" spans="1:6" ht="36">
      <c r="A9" s="39">
        <v>2</v>
      </c>
      <c r="B9" s="40" t="s">
        <v>331</v>
      </c>
      <c r="C9" s="8">
        <v>85</v>
      </c>
      <c r="D9" s="41">
        <v>40000</v>
      </c>
      <c r="E9" s="41">
        <f t="shared" si="0"/>
        <v>3400000</v>
      </c>
      <c r="F9" s="40" t="s">
        <v>330</v>
      </c>
    </row>
    <row r="10" spans="1:6" ht="24">
      <c r="A10" s="39">
        <v>3</v>
      </c>
      <c r="B10" s="40" t="s">
        <v>814</v>
      </c>
      <c r="C10" s="8">
        <v>3</v>
      </c>
      <c r="D10" s="41">
        <v>400000</v>
      </c>
      <c r="E10" s="41">
        <f t="shared" si="0"/>
        <v>1200000</v>
      </c>
      <c r="F10" s="40" t="s">
        <v>332</v>
      </c>
    </row>
    <row r="11" spans="1:6" ht="24">
      <c r="A11" s="39">
        <v>4</v>
      </c>
      <c r="B11" s="40" t="s">
        <v>333</v>
      </c>
      <c r="C11" s="8">
        <v>1</v>
      </c>
      <c r="D11" s="41">
        <v>1000000</v>
      </c>
      <c r="E11" s="41">
        <f t="shared" si="0"/>
        <v>1000000</v>
      </c>
      <c r="F11" s="40" t="s">
        <v>334</v>
      </c>
    </row>
    <row r="12" spans="1:6" ht="24">
      <c r="A12" s="39">
        <v>5</v>
      </c>
      <c r="B12" s="40" t="s">
        <v>452</v>
      </c>
      <c r="C12" s="8">
        <v>1</v>
      </c>
      <c r="D12" s="41">
        <v>5000000</v>
      </c>
      <c r="E12" s="41">
        <f t="shared" si="0"/>
        <v>5000000</v>
      </c>
      <c r="F12" s="40" t="s">
        <v>453</v>
      </c>
    </row>
    <row r="13" spans="1:6" ht="24">
      <c r="A13" s="39">
        <v>6</v>
      </c>
      <c r="B13" s="40" t="s">
        <v>335</v>
      </c>
      <c r="C13" s="8">
        <v>4</v>
      </c>
      <c r="D13" s="41">
        <v>500000</v>
      </c>
      <c r="E13" s="41">
        <f t="shared" si="0"/>
        <v>2000000</v>
      </c>
      <c r="F13" s="40" t="s">
        <v>336</v>
      </c>
    </row>
    <row r="14" spans="1:6">
      <c r="A14" s="42"/>
      <c r="B14" s="42" t="s">
        <v>174</v>
      </c>
      <c r="C14" s="38"/>
      <c r="D14" s="43"/>
      <c r="E14" s="43">
        <f>SUM(E8:E13)</f>
        <v>13662500</v>
      </c>
      <c r="F14" s="42"/>
    </row>
    <row r="16" spans="1:6">
      <c r="A16" s="35"/>
      <c r="B16" s="36" t="s">
        <v>337</v>
      </c>
      <c r="C16" s="35"/>
      <c r="D16" s="35"/>
      <c r="E16" s="35"/>
      <c r="F16" s="35"/>
    </row>
    <row r="17" spans="1:6">
      <c r="A17" s="35"/>
      <c r="B17" s="35"/>
      <c r="C17" s="35"/>
      <c r="D17" s="35"/>
      <c r="E17" s="35"/>
      <c r="F17" s="35"/>
    </row>
    <row r="18" spans="1:6" ht="24">
      <c r="A18" s="8" t="s">
        <v>1</v>
      </c>
      <c r="B18" s="8" t="s">
        <v>338</v>
      </c>
      <c r="C18" s="8" t="s">
        <v>315</v>
      </c>
      <c r="D18" s="8" t="s">
        <v>166</v>
      </c>
      <c r="E18" s="8" t="s">
        <v>316</v>
      </c>
      <c r="F18" s="8" t="s">
        <v>3</v>
      </c>
    </row>
    <row r="19" spans="1:6">
      <c r="A19" s="8">
        <v>3</v>
      </c>
      <c r="B19" s="49" t="s">
        <v>339</v>
      </c>
      <c r="C19" s="8">
        <v>1</v>
      </c>
      <c r="D19" s="44">
        <v>25000000</v>
      </c>
      <c r="E19" s="44">
        <v>25000000</v>
      </c>
      <c r="F19" s="49" t="s">
        <v>340</v>
      </c>
    </row>
    <row r="20" spans="1:6" ht="24">
      <c r="A20" s="8">
        <v>4</v>
      </c>
      <c r="B20" s="49" t="s">
        <v>341</v>
      </c>
      <c r="C20" s="8">
        <v>1</v>
      </c>
      <c r="D20" s="44">
        <v>10000000</v>
      </c>
      <c r="E20" s="44">
        <v>10000000</v>
      </c>
      <c r="F20" s="49" t="s">
        <v>342</v>
      </c>
    </row>
    <row r="21" spans="1:6">
      <c r="A21" s="45"/>
      <c r="B21" s="46" t="s">
        <v>343</v>
      </c>
      <c r="C21" s="45"/>
      <c r="D21" s="45"/>
      <c r="E21" s="48">
        <f>SUM(E19:E20)</f>
        <v>35000000</v>
      </c>
      <c r="F21" s="47"/>
    </row>
  </sheetData>
  <mergeCells count="2">
    <mergeCell ref="B1:D1"/>
    <mergeCell ref="A3:B3"/>
  </mergeCells>
  <pageMargins left="0.70866141732283472" right="0.70866141732283472" top="0.74803149606299213" bottom="0.74803149606299213" header="0.31496062992125984" footer="0.31496062992125984"/>
  <pageSetup paperSize="9" scale="85" orientation="landscape"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Normal="100" workbookViewId="0">
      <selection activeCell="F48" sqref="F48"/>
    </sheetView>
  </sheetViews>
  <sheetFormatPr defaultRowHeight="12.75"/>
  <cols>
    <col min="1" max="1" width="4.140625" style="365" customWidth="1"/>
    <col min="2" max="2" width="69.7109375" style="264" bestFit="1" customWidth="1"/>
    <col min="3" max="9" width="14.42578125" style="264" customWidth="1"/>
    <col min="10" max="10" width="9.140625" style="264"/>
    <col min="11" max="12" width="12.28515625" style="264" bestFit="1" customWidth="1"/>
    <col min="13" max="13" width="11.7109375" style="264" customWidth="1"/>
    <col min="14" max="16384" width="9.140625" style="264"/>
  </cols>
  <sheetData>
    <row r="1" spans="1:13">
      <c r="A1" s="1406" t="s">
        <v>874</v>
      </c>
      <c r="B1" s="1406"/>
      <c r="C1" s="1406"/>
      <c r="D1" s="1406"/>
      <c r="E1" s="1406"/>
      <c r="F1" s="1406"/>
    </row>
    <row r="2" spans="1:13">
      <c r="A2" s="1407"/>
      <c r="B2" s="1407"/>
      <c r="C2" s="1407"/>
      <c r="D2" s="1407"/>
      <c r="E2" s="1407"/>
      <c r="F2" s="1407"/>
    </row>
    <row r="3" spans="1:13">
      <c r="A3" s="1395" t="s">
        <v>873</v>
      </c>
      <c r="B3" s="1396"/>
      <c r="C3" s="1396"/>
      <c r="D3" s="1396"/>
      <c r="E3" s="1396"/>
      <c r="F3" s="1397"/>
    </row>
    <row r="4" spans="1:13" ht="51">
      <c r="A4" s="272" t="s">
        <v>1</v>
      </c>
      <c r="B4" s="273" t="s">
        <v>381</v>
      </c>
      <c r="C4" s="272" t="s">
        <v>382</v>
      </c>
      <c r="D4" s="272" t="s">
        <v>383</v>
      </c>
      <c r="E4" s="272" t="s">
        <v>384</v>
      </c>
      <c r="F4" s="272" t="s">
        <v>385</v>
      </c>
    </row>
    <row r="5" spans="1:13">
      <c r="A5" s="255">
        <v>1</v>
      </c>
      <c r="B5" s="274" t="s">
        <v>386</v>
      </c>
      <c r="C5" s="275">
        <v>800</v>
      </c>
      <c r="D5" s="276">
        <v>12000</v>
      </c>
      <c r="E5" s="276">
        <f>C5*D5</f>
        <v>9600000</v>
      </c>
      <c r="F5" s="276">
        <f>E5*12</f>
        <v>115200000</v>
      </c>
    </row>
    <row r="6" spans="1:13">
      <c r="A6" s="255">
        <v>2</v>
      </c>
      <c r="B6" s="274" t="s">
        <v>387</v>
      </c>
      <c r="C6" s="275">
        <v>250</v>
      </c>
      <c r="D6" s="276">
        <v>5000</v>
      </c>
      <c r="E6" s="276">
        <f>+C6*D6</f>
        <v>1250000</v>
      </c>
      <c r="F6" s="276">
        <f>+E6*12</f>
        <v>15000000</v>
      </c>
    </row>
    <row r="7" spans="1:13" ht="38.25">
      <c r="A7" s="255">
        <v>3</v>
      </c>
      <c r="B7" s="277" t="s">
        <v>388</v>
      </c>
      <c r="C7" s="275">
        <v>80</v>
      </c>
      <c r="D7" s="276">
        <v>10000</v>
      </c>
      <c r="E7" s="276">
        <f>+C7*D7</f>
        <v>800000</v>
      </c>
      <c r="F7" s="276">
        <f>+E7*12</f>
        <v>9600000</v>
      </c>
    </row>
    <row r="8" spans="1:13" ht="25.5">
      <c r="A8" s="255"/>
      <c r="B8" s="277" t="s">
        <v>389</v>
      </c>
      <c r="C8" s="275">
        <v>320</v>
      </c>
      <c r="D8" s="276">
        <v>5000</v>
      </c>
      <c r="E8" s="276">
        <f>+C8*D8</f>
        <v>1600000</v>
      </c>
      <c r="F8" s="276">
        <f>+E8*12</f>
        <v>19200000</v>
      </c>
    </row>
    <row r="9" spans="1:13">
      <c r="A9" s="255"/>
      <c r="B9" s="278" t="s">
        <v>390</v>
      </c>
      <c r="C9" s="275"/>
      <c r="D9" s="276"/>
      <c r="E9" s="279">
        <f>SUM(E5:E8)</f>
        <v>13250000</v>
      </c>
      <c r="F9" s="279">
        <f>SUM(F5:F8)</f>
        <v>159000000</v>
      </c>
    </row>
    <row r="10" spans="1:13">
      <c r="A10" s="1398" t="s">
        <v>833</v>
      </c>
      <c r="B10" s="1398"/>
      <c r="C10" s="1398"/>
      <c r="D10" s="1398"/>
      <c r="E10" s="1398"/>
      <c r="F10" s="1398"/>
      <c r="G10" s="1398"/>
      <c r="H10" s="1398"/>
      <c r="I10" s="1398"/>
      <c r="J10" s="1398"/>
      <c r="K10" s="1398"/>
      <c r="L10" s="1398"/>
    </row>
    <row r="11" spans="1:13">
      <c r="A11" s="1408" t="s">
        <v>1</v>
      </c>
      <c r="B11" s="1399" t="s">
        <v>834</v>
      </c>
      <c r="C11" s="1401" t="s">
        <v>835</v>
      </c>
      <c r="D11" s="1403" t="s">
        <v>836</v>
      </c>
      <c r="E11" s="1404"/>
      <c r="F11" s="1405"/>
      <c r="G11" s="1343" t="s">
        <v>837</v>
      </c>
      <c r="H11" s="1344"/>
      <c r="I11" s="1345"/>
      <c r="J11" s="1343" t="s">
        <v>838</v>
      </c>
      <c r="K11" s="1344"/>
      <c r="L11" s="1345"/>
      <c r="M11" s="253"/>
    </row>
    <row r="12" spans="1:13" ht="33.75">
      <c r="A12" s="1408"/>
      <c r="B12" s="1400"/>
      <c r="C12" s="1402"/>
      <c r="D12" s="218" t="s">
        <v>839</v>
      </c>
      <c r="E12" s="218" t="s">
        <v>840</v>
      </c>
      <c r="F12" s="355" t="s">
        <v>433</v>
      </c>
      <c r="G12" s="218" t="s">
        <v>841</v>
      </c>
      <c r="H12" s="218" t="s">
        <v>842</v>
      </c>
      <c r="I12" s="355" t="s">
        <v>433</v>
      </c>
      <c r="J12" s="218" t="s">
        <v>843</v>
      </c>
      <c r="K12" s="218" t="s">
        <v>844</v>
      </c>
      <c r="L12" s="355" t="s">
        <v>433</v>
      </c>
      <c r="M12" s="356" t="s">
        <v>156</v>
      </c>
    </row>
    <row r="13" spans="1:13">
      <c r="A13" s="1408">
        <v>1</v>
      </c>
      <c r="B13" s="1392" t="s">
        <v>845</v>
      </c>
      <c r="C13" s="357" t="s">
        <v>846</v>
      </c>
      <c r="D13" s="358">
        <v>50</v>
      </c>
      <c r="E13" s="359">
        <v>100000</v>
      </c>
      <c r="F13" s="360">
        <f t="shared" ref="F13:F20" si="0">+D13*E13</f>
        <v>5000000</v>
      </c>
      <c r="G13" s="1393">
        <v>350</v>
      </c>
      <c r="H13" s="1393">
        <v>90000</v>
      </c>
      <c r="I13" s="1394">
        <f>+H13*G13</f>
        <v>31500000</v>
      </c>
      <c r="J13" s="1393">
        <v>500</v>
      </c>
      <c r="K13" s="1393">
        <v>50000</v>
      </c>
      <c r="L13" s="1394">
        <f>+J13*K13</f>
        <v>25000000</v>
      </c>
      <c r="M13" s="1389">
        <f>+L13+I13+F15+F14+F13</f>
        <v>102500000</v>
      </c>
    </row>
    <row r="14" spans="1:13">
      <c r="A14" s="1408"/>
      <c r="B14" s="1392"/>
      <c r="C14" s="357" t="s">
        <v>847</v>
      </c>
      <c r="D14" s="359">
        <v>10</v>
      </c>
      <c r="E14" s="359">
        <v>100000</v>
      </c>
      <c r="F14" s="360">
        <f t="shared" si="0"/>
        <v>1000000</v>
      </c>
      <c r="G14" s="1393"/>
      <c r="H14" s="1393"/>
      <c r="I14" s="1394"/>
      <c r="J14" s="1393"/>
      <c r="K14" s="1393"/>
      <c r="L14" s="1394"/>
      <c r="M14" s="1390"/>
    </row>
    <row r="15" spans="1:13">
      <c r="A15" s="1408"/>
      <c r="B15" s="1392"/>
      <c r="C15" s="357" t="s">
        <v>848</v>
      </c>
      <c r="D15" s="359">
        <v>400</v>
      </c>
      <c r="E15" s="359">
        <v>100000</v>
      </c>
      <c r="F15" s="360">
        <f t="shared" si="0"/>
        <v>40000000</v>
      </c>
      <c r="G15" s="1393"/>
      <c r="H15" s="1393"/>
      <c r="I15" s="1394"/>
      <c r="J15" s="1393"/>
      <c r="K15" s="1393"/>
      <c r="L15" s="1394"/>
      <c r="M15" s="1391"/>
    </row>
    <row r="16" spans="1:13" ht="33.75">
      <c r="A16" s="1408"/>
      <c r="B16" s="1392"/>
      <c r="C16" s="361" t="s">
        <v>849</v>
      </c>
      <c r="D16" s="359">
        <v>150</v>
      </c>
      <c r="E16" s="359">
        <v>50000</v>
      </c>
      <c r="F16" s="360">
        <f t="shared" si="0"/>
        <v>7500000</v>
      </c>
      <c r="G16" s="359">
        <v>0</v>
      </c>
      <c r="H16" s="359">
        <v>45000</v>
      </c>
      <c r="I16" s="360">
        <f>+G16*H16</f>
        <v>0</v>
      </c>
      <c r="J16" s="359"/>
      <c r="K16" s="1393"/>
      <c r="L16" s="360">
        <f>+J16*K13</f>
        <v>0</v>
      </c>
      <c r="M16" s="359">
        <f>+L16+I16+F16</f>
        <v>7500000</v>
      </c>
    </row>
    <row r="17" spans="1:13">
      <c r="A17" s="294">
        <v>2</v>
      </c>
      <c r="B17" s="362" t="s">
        <v>850</v>
      </c>
      <c r="C17" s="363" t="s">
        <v>850</v>
      </c>
      <c r="D17" s="358">
        <v>30</v>
      </c>
      <c r="E17" s="359">
        <v>100000</v>
      </c>
      <c r="F17" s="360">
        <f t="shared" si="0"/>
        <v>3000000</v>
      </c>
      <c r="G17" s="359">
        <v>20</v>
      </c>
      <c r="H17" s="359">
        <v>90000</v>
      </c>
      <c r="I17" s="360">
        <f>+G17*H17</f>
        <v>1800000</v>
      </c>
      <c r="J17" s="359">
        <v>5</v>
      </c>
      <c r="K17" s="359">
        <v>50000</v>
      </c>
      <c r="L17" s="360">
        <f>+J17*K17</f>
        <v>250000</v>
      </c>
      <c r="M17" s="359">
        <f>+L17+I17+F17</f>
        <v>5050000</v>
      </c>
    </row>
    <row r="18" spans="1:13">
      <c r="A18" s="294">
        <v>3</v>
      </c>
      <c r="B18" s="362" t="s">
        <v>851</v>
      </c>
      <c r="C18" s="357" t="s">
        <v>851</v>
      </c>
      <c r="D18" s="358">
        <v>350</v>
      </c>
      <c r="E18" s="359">
        <v>50000</v>
      </c>
      <c r="F18" s="360">
        <f t="shared" si="0"/>
        <v>17500000</v>
      </c>
      <c r="G18" s="359"/>
      <c r="H18" s="359"/>
      <c r="I18" s="360"/>
      <c r="J18" s="359"/>
      <c r="K18" s="359"/>
      <c r="L18" s="360"/>
      <c r="M18" s="359">
        <f>+L18+I18+F18</f>
        <v>17500000</v>
      </c>
    </row>
    <row r="19" spans="1:13">
      <c r="A19" s="1408">
        <v>4</v>
      </c>
      <c r="B19" s="1392" t="s">
        <v>852</v>
      </c>
      <c r="C19" s="357" t="s">
        <v>853</v>
      </c>
      <c r="D19" s="359">
        <v>20</v>
      </c>
      <c r="E19" s="359">
        <v>100000</v>
      </c>
      <c r="F19" s="360">
        <f t="shared" si="0"/>
        <v>2000000</v>
      </c>
      <c r="G19" s="1393">
        <v>250</v>
      </c>
      <c r="H19" s="1393">
        <v>90000</v>
      </c>
      <c r="I19" s="1394">
        <f>+G19*H19</f>
        <v>22500000</v>
      </c>
      <c r="J19" s="1393">
        <v>80</v>
      </c>
      <c r="K19" s="1393">
        <v>50000</v>
      </c>
      <c r="L19" s="1394">
        <f>+J19*K19</f>
        <v>4000000</v>
      </c>
      <c r="M19" s="1393">
        <f>+F19+I19+L19+F20</f>
        <v>53500000</v>
      </c>
    </row>
    <row r="20" spans="1:13">
      <c r="A20" s="1408"/>
      <c r="B20" s="1392"/>
      <c r="C20" s="357" t="s">
        <v>854</v>
      </c>
      <c r="D20" s="359">
        <v>250</v>
      </c>
      <c r="E20" s="359">
        <v>100000</v>
      </c>
      <c r="F20" s="360">
        <f t="shared" si="0"/>
        <v>25000000</v>
      </c>
      <c r="G20" s="1393"/>
      <c r="H20" s="1393"/>
      <c r="I20" s="1394"/>
      <c r="J20" s="1393"/>
      <c r="K20" s="1393"/>
      <c r="L20" s="1394"/>
      <c r="M20" s="1393"/>
    </row>
    <row r="21" spans="1:13">
      <c r="A21" s="294"/>
      <c r="B21" s="362" t="s">
        <v>450</v>
      </c>
      <c r="C21" s="357"/>
      <c r="D21" s="359">
        <f t="shared" ref="D21:L21" si="1">+SUM(D13:D20)</f>
        <v>1260</v>
      </c>
      <c r="E21" s="359">
        <f t="shared" si="1"/>
        <v>700000</v>
      </c>
      <c r="F21" s="360">
        <f t="shared" si="1"/>
        <v>101000000</v>
      </c>
      <c r="G21" s="359">
        <f t="shared" si="1"/>
        <v>620</v>
      </c>
      <c r="H21" s="359">
        <f t="shared" si="1"/>
        <v>315000</v>
      </c>
      <c r="I21" s="360">
        <f t="shared" si="1"/>
        <v>55800000</v>
      </c>
      <c r="J21" s="359">
        <f t="shared" si="1"/>
        <v>585</v>
      </c>
      <c r="K21" s="359">
        <f t="shared" si="1"/>
        <v>150000</v>
      </c>
      <c r="L21" s="360">
        <f t="shared" si="1"/>
        <v>29250000</v>
      </c>
      <c r="M21" s="360">
        <f>+M19+M18+M17+M16+M13</f>
        <v>186050000</v>
      </c>
    </row>
    <row r="22" spans="1:13">
      <c r="A22" s="282"/>
    </row>
    <row r="23" spans="1:13">
      <c r="A23" s="282"/>
    </row>
    <row r="24" spans="1:13">
      <c r="A24" s="1388" t="s">
        <v>872</v>
      </c>
      <c r="B24" s="1388"/>
      <c r="C24" s="1388"/>
      <c r="D24" s="1388"/>
      <c r="E24" s="1388"/>
      <c r="F24" s="1388"/>
      <c r="G24" s="1388"/>
      <c r="H24" s="1388"/>
      <c r="I24" s="1388"/>
    </row>
    <row r="25" spans="1:13">
      <c r="A25" s="1318" t="s">
        <v>1</v>
      </c>
      <c r="B25" s="1320" t="s">
        <v>871</v>
      </c>
      <c r="C25" s="1320" t="s">
        <v>870</v>
      </c>
      <c r="D25" s="1384" t="s">
        <v>869</v>
      </c>
      <c r="E25" s="1385"/>
      <c r="F25" s="1386"/>
      <c r="G25" s="1326" t="s">
        <v>868</v>
      </c>
      <c r="H25" s="1387"/>
      <c r="I25" s="1327"/>
    </row>
    <row r="26" spans="1:13">
      <c r="A26" s="1319"/>
      <c r="B26" s="1321"/>
      <c r="C26" s="1321"/>
      <c r="D26" s="373" t="s">
        <v>867</v>
      </c>
      <c r="E26" s="374" t="s">
        <v>866</v>
      </c>
      <c r="F26" s="374" t="s">
        <v>156</v>
      </c>
      <c r="G26" s="373" t="s">
        <v>867</v>
      </c>
      <c r="H26" s="373" t="s">
        <v>866</v>
      </c>
      <c r="I26" s="373" t="s">
        <v>156</v>
      </c>
    </row>
    <row r="27" spans="1:13">
      <c r="A27" s="375">
        <v>1</v>
      </c>
      <c r="B27" s="372" t="s">
        <v>865</v>
      </c>
      <c r="C27" s="371">
        <v>1000000</v>
      </c>
      <c r="D27" s="370">
        <v>5</v>
      </c>
      <c r="E27" s="369">
        <v>2</v>
      </c>
      <c r="F27" s="369">
        <f t="shared" ref="F27:F37" si="2">+E27+D27</f>
        <v>7</v>
      </c>
      <c r="G27" s="368">
        <f t="shared" ref="G27:G37" si="3">+D27*C27</f>
        <v>5000000</v>
      </c>
      <c r="H27" s="368">
        <f t="shared" ref="H27:H37" si="4">+E27*C27</f>
        <v>2000000</v>
      </c>
      <c r="I27" s="368">
        <f t="shared" ref="I27:I37" si="5">+G27+H27</f>
        <v>7000000</v>
      </c>
    </row>
    <row r="28" spans="1:13">
      <c r="A28" s="375">
        <v>2</v>
      </c>
      <c r="B28" s="372" t="s">
        <v>864</v>
      </c>
      <c r="C28" s="371">
        <v>800000</v>
      </c>
      <c r="D28" s="370">
        <v>4</v>
      </c>
      <c r="E28" s="369">
        <v>3</v>
      </c>
      <c r="F28" s="369">
        <f t="shared" si="2"/>
        <v>7</v>
      </c>
      <c r="G28" s="368">
        <f t="shared" si="3"/>
        <v>3200000</v>
      </c>
      <c r="H28" s="368">
        <f t="shared" si="4"/>
        <v>2400000</v>
      </c>
      <c r="I28" s="368">
        <f t="shared" si="5"/>
        <v>5600000</v>
      </c>
    </row>
    <row r="29" spans="1:13">
      <c r="A29" s="375">
        <v>3</v>
      </c>
      <c r="B29" s="372" t="s">
        <v>863</v>
      </c>
      <c r="C29" s="371">
        <v>500000</v>
      </c>
      <c r="D29" s="370">
        <v>0</v>
      </c>
      <c r="E29" s="369">
        <v>10</v>
      </c>
      <c r="F29" s="369">
        <f t="shared" si="2"/>
        <v>10</v>
      </c>
      <c r="G29" s="368">
        <f t="shared" si="3"/>
        <v>0</v>
      </c>
      <c r="H29" s="368">
        <f t="shared" si="4"/>
        <v>5000000</v>
      </c>
      <c r="I29" s="368">
        <f t="shared" si="5"/>
        <v>5000000</v>
      </c>
    </row>
    <row r="30" spans="1:13">
      <c r="A30" s="375">
        <v>4</v>
      </c>
      <c r="B30" s="372" t="s">
        <v>862</v>
      </c>
      <c r="C30" s="371">
        <v>450000</v>
      </c>
      <c r="D30" s="370">
        <v>1</v>
      </c>
      <c r="E30" s="369">
        <v>63</v>
      </c>
      <c r="F30" s="369">
        <f t="shared" si="2"/>
        <v>64</v>
      </c>
      <c r="G30" s="368">
        <f t="shared" si="3"/>
        <v>450000</v>
      </c>
      <c r="H30" s="368">
        <f t="shared" si="4"/>
        <v>28350000</v>
      </c>
      <c r="I30" s="368">
        <f t="shared" si="5"/>
        <v>28800000</v>
      </c>
    </row>
    <row r="31" spans="1:13">
      <c r="A31" s="375">
        <v>5</v>
      </c>
      <c r="B31" s="372" t="s">
        <v>861</v>
      </c>
      <c r="C31" s="371">
        <v>400000</v>
      </c>
      <c r="D31" s="370">
        <v>8</v>
      </c>
      <c r="E31" s="369">
        <v>21</v>
      </c>
      <c r="F31" s="369">
        <f t="shared" si="2"/>
        <v>29</v>
      </c>
      <c r="G31" s="368">
        <f t="shared" si="3"/>
        <v>3200000</v>
      </c>
      <c r="H31" s="368">
        <f t="shared" si="4"/>
        <v>8400000</v>
      </c>
      <c r="I31" s="368">
        <f t="shared" si="5"/>
        <v>11600000</v>
      </c>
    </row>
    <row r="32" spans="1:13">
      <c r="A32" s="1308">
        <v>6</v>
      </c>
      <c r="B32" s="372" t="s">
        <v>860</v>
      </c>
      <c r="C32" s="371">
        <v>500000</v>
      </c>
      <c r="D32" s="370">
        <v>7</v>
      </c>
      <c r="E32" s="369">
        <v>0</v>
      </c>
      <c r="F32" s="369">
        <f t="shared" si="2"/>
        <v>7</v>
      </c>
      <c r="G32" s="368">
        <f t="shared" si="3"/>
        <v>3500000</v>
      </c>
      <c r="H32" s="368">
        <f t="shared" si="4"/>
        <v>0</v>
      </c>
      <c r="I32" s="368">
        <f t="shared" si="5"/>
        <v>3500000</v>
      </c>
    </row>
    <row r="33" spans="1:11">
      <c r="A33" s="1308"/>
      <c r="B33" s="372" t="s">
        <v>859</v>
      </c>
      <c r="C33" s="371">
        <v>700000</v>
      </c>
      <c r="D33" s="370">
        <v>13</v>
      </c>
      <c r="E33" s="369">
        <v>26</v>
      </c>
      <c r="F33" s="369">
        <f t="shared" si="2"/>
        <v>39</v>
      </c>
      <c r="G33" s="368">
        <f t="shared" si="3"/>
        <v>9100000</v>
      </c>
      <c r="H33" s="368">
        <f t="shared" si="4"/>
        <v>18200000</v>
      </c>
      <c r="I33" s="368">
        <f t="shared" si="5"/>
        <v>27300000</v>
      </c>
    </row>
    <row r="34" spans="1:11">
      <c r="A34" s="1308"/>
      <c r="B34" s="372" t="s">
        <v>858</v>
      </c>
      <c r="C34" s="371">
        <v>800000</v>
      </c>
      <c r="D34" s="370">
        <v>6</v>
      </c>
      <c r="E34" s="369">
        <v>0</v>
      </c>
      <c r="F34" s="369">
        <f t="shared" si="2"/>
        <v>6</v>
      </c>
      <c r="G34" s="368">
        <f t="shared" si="3"/>
        <v>4800000</v>
      </c>
      <c r="H34" s="368">
        <f t="shared" si="4"/>
        <v>0</v>
      </c>
      <c r="I34" s="368">
        <f t="shared" si="5"/>
        <v>4800000</v>
      </c>
      <c r="K34" s="364"/>
    </row>
    <row r="35" spans="1:11">
      <c r="A35" s="1308">
        <v>7</v>
      </c>
      <c r="B35" s="372" t="s">
        <v>857</v>
      </c>
      <c r="C35" s="371">
        <v>600000</v>
      </c>
      <c r="D35" s="370">
        <v>9</v>
      </c>
      <c r="E35" s="369">
        <v>1</v>
      </c>
      <c r="F35" s="369">
        <f t="shared" si="2"/>
        <v>10</v>
      </c>
      <c r="G35" s="368">
        <f t="shared" si="3"/>
        <v>5400000</v>
      </c>
      <c r="H35" s="368">
        <f t="shared" si="4"/>
        <v>600000</v>
      </c>
      <c r="I35" s="368">
        <f t="shared" si="5"/>
        <v>6000000</v>
      </c>
    </row>
    <row r="36" spans="1:11">
      <c r="A36" s="1308"/>
      <c r="B36" s="372" t="s">
        <v>856</v>
      </c>
      <c r="C36" s="371">
        <v>800000</v>
      </c>
      <c r="D36" s="370">
        <v>3</v>
      </c>
      <c r="E36" s="369">
        <v>0</v>
      </c>
      <c r="F36" s="369">
        <f t="shared" si="2"/>
        <v>3</v>
      </c>
      <c r="G36" s="368">
        <f t="shared" si="3"/>
        <v>2400000</v>
      </c>
      <c r="H36" s="368">
        <f t="shared" si="4"/>
        <v>0</v>
      </c>
      <c r="I36" s="368">
        <f t="shared" si="5"/>
        <v>2400000</v>
      </c>
    </row>
    <row r="37" spans="1:11">
      <c r="A37" s="1308"/>
      <c r="B37" s="372" t="s">
        <v>855</v>
      </c>
      <c r="C37" s="371">
        <v>1000000</v>
      </c>
      <c r="D37" s="370">
        <v>2</v>
      </c>
      <c r="E37" s="369">
        <v>0</v>
      </c>
      <c r="F37" s="369">
        <f t="shared" si="2"/>
        <v>2</v>
      </c>
      <c r="G37" s="368">
        <f t="shared" si="3"/>
        <v>2000000</v>
      </c>
      <c r="H37" s="368">
        <f t="shared" si="4"/>
        <v>0</v>
      </c>
      <c r="I37" s="368">
        <f t="shared" si="5"/>
        <v>2000000</v>
      </c>
    </row>
    <row r="38" spans="1:11">
      <c r="A38" s="1381" t="s">
        <v>174</v>
      </c>
      <c r="B38" s="1382"/>
      <c r="C38" s="1383"/>
      <c r="D38" s="367">
        <f t="shared" ref="D38:I38" si="6">+D37+D36+D35+D34+D33+D32+D31+D30+D29+D28+D27</f>
        <v>58</v>
      </c>
      <c r="E38" s="367">
        <f t="shared" si="6"/>
        <v>126</v>
      </c>
      <c r="F38" s="367">
        <f t="shared" si="6"/>
        <v>184</v>
      </c>
      <c r="G38" s="366">
        <f t="shared" si="6"/>
        <v>39050000</v>
      </c>
      <c r="H38" s="366">
        <f t="shared" si="6"/>
        <v>64950000</v>
      </c>
      <c r="I38" s="366">
        <f t="shared" si="6"/>
        <v>104000000</v>
      </c>
    </row>
    <row r="42" spans="1:11">
      <c r="A42" s="581" t="s">
        <v>391</v>
      </c>
      <c r="B42" s="281"/>
      <c r="C42" s="281"/>
      <c r="D42" s="281"/>
      <c r="E42" s="281"/>
      <c r="F42" s="281"/>
    </row>
    <row r="43" spans="1:11" ht="38.25">
      <c r="A43" s="272" t="s">
        <v>1</v>
      </c>
      <c r="B43" s="272" t="s">
        <v>392</v>
      </c>
      <c r="C43" s="272" t="s">
        <v>393</v>
      </c>
      <c r="D43" s="272" t="s">
        <v>394</v>
      </c>
      <c r="E43" s="272" t="s">
        <v>384</v>
      </c>
      <c r="F43" s="272" t="s">
        <v>385</v>
      </c>
    </row>
    <row r="44" spans="1:11">
      <c r="A44" s="255">
        <v>1</v>
      </c>
      <c r="B44" s="274" t="s">
        <v>395</v>
      </c>
      <c r="C44" s="275">
        <v>140</v>
      </c>
      <c r="D44" s="276">
        <v>60000</v>
      </c>
      <c r="E44" s="276">
        <f>C44*D44</f>
        <v>8400000</v>
      </c>
      <c r="F44" s="276">
        <f>+E44*12</f>
        <v>100800000</v>
      </c>
      <c r="G44" s="280"/>
    </row>
    <row r="45" spans="1:11">
      <c r="A45" s="255">
        <v>5</v>
      </c>
      <c r="B45" s="274" t="s">
        <v>396</v>
      </c>
      <c r="C45" s="275">
        <v>3</v>
      </c>
      <c r="D45" s="276">
        <v>6500</v>
      </c>
      <c r="E45" s="276">
        <v>172916.67</v>
      </c>
      <c r="F45" s="276">
        <f>E45*12</f>
        <v>2075000.04</v>
      </c>
    </row>
    <row r="46" spans="1:11">
      <c r="A46" s="255"/>
      <c r="B46" s="278" t="s">
        <v>390</v>
      </c>
      <c r="C46" s="276"/>
      <c r="D46" s="276"/>
      <c r="E46" s="279">
        <f>SUM(E44:E44)</f>
        <v>8400000</v>
      </c>
      <c r="F46" s="279">
        <f>SUM(F44:F44)</f>
        <v>100800000</v>
      </c>
    </row>
  </sheetData>
  <mergeCells count="36">
    <mergeCell ref="A1:F2"/>
    <mergeCell ref="G13:G15"/>
    <mergeCell ref="A13:A16"/>
    <mergeCell ref="A19:A20"/>
    <mergeCell ref="A11:A12"/>
    <mergeCell ref="K13:K16"/>
    <mergeCell ref="L13:L15"/>
    <mergeCell ref="A3:F3"/>
    <mergeCell ref="A10:L10"/>
    <mergeCell ref="B11:B12"/>
    <mergeCell ref="C11:C12"/>
    <mergeCell ref="D11:F11"/>
    <mergeCell ref="G11:I11"/>
    <mergeCell ref="J11:L11"/>
    <mergeCell ref="B13:B16"/>
    <mergeCell ref="D25:F25"/>
    <mergeCell ref="G25:I25"/>
    <mergeCell ref="A24:I24"/>
    <mergeCell ref="A32:A34"/>
    <mergeCell ref="M13:M15"/>
    <mergeCell ref="B19:B20"/>
    <mergeCell ref="G19:G20"/>
    <mergeCell ref="H19:H20"/>
    <mergeCell ref="I19:I20"/>
    <mergeCell ref="J19:J20"/>
    <mergeCell ref="K19:K20"/>
    <mergeCell ref="L19:L20"/>
    <mergeCell ref="M19:M20"/>
    <mergeCell ref="H13:H15"/>
    <mergeCell ref="I13:I15"/>
    <mergeCell ref="J13:J15"/>
    <mergeCell ref="A38:C38"/>
    <mergeCell ref="A25:A26"/>
    <mergeCell ref="B25:B26"/>
    <mergeCell ref="C25:C26"/>
    <mergeCell ref="A35:A37"/>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3"/>
  <sheetViews>
    <sheetView workbookViewId="0">
      <selection activeCell="B5" sqref="B5:B6"/>
    </sheetView>
  </sheetViews>
  <sheetFormatPr defaultRowHeight="12.75"/>
  <cols>
    <col min="1" max="1" width="5" style="1012" customWidth="1"/>
    <col min="2" max="2" width="11.28515625" style="999" customWidth="1"/>
    <col min="3" max="3" width="4.7109375" style="1012" customWidth="1"/>
    <col min="4" max="4" width="9.7109375" style="999" customWidth="1"/>
    <col min="5" max="11" width="8.7109375" style="999" customWidth="1"/>
    <col min="12" max="12" width="13.140625" style="999" customWidth="1"/>
    <col min="13" max="16384" width="9.140625" style="999"/>
  </cols>
  <sheetData>
    <row r="1" spans="1:27" s="1" customFormat="1" ht="15">
      <c r="A1" s="10" t="s">
        <v>2479</v>
      </c>
      <c r="B1" s="11"/>
      <c r="C1" s="995"/>
      <c r="D1" s="11"/>
      <c r="E1" s="11"/>
      <c r="F1" s="11"/>
      <c r="G1" s="11"/>
      <c r="H1" s="11"/>
      <c r="I1" s="11"/>
      <c r="J1" s="11"/>
      <c r="K1" s="11"/>
      <c r="L1" s="11"/>
      <c r="M1" s="11"/>
      <c r="N1" s="11"/>
      <c r="O1" s="11"/>
      <c r="P1" s="11"/>
      <c r="Q1" s="11"/>
      <c r="R1" s="11"/>
      <c r="T1" s="3"/>
      <c r="AA1" s="3"/>
    </row>
    <row r="2" spans="1:27" s="1" customFormat="1" ht="15">
      <c r="A2" s="11"/>
      <c r="B2" s="11"/>
      <c r="C2" s="995"/>
      <c r="D2" s="11"/>
      <c r="E2" s="11"/>
      <c r="F2" s="11"/>
      <c r="G2" s="11"/>
      <c r="H2" s="11"/>
      <c r="I2" s="11"/>
      <c r="J2" s="11"/>
      <c r="K2" s="11"/>
      <c r="L2" s="11"/>
      <c r="M2" s="14"/>
      <c r="N2" s="11"/>
      <c r="O2" s="11"/>
      <c r="P2" s="11"/>
      <c r="Q2" s="11"/>
      <c r="R2" s="11"/>
      <c r="T2" s="3"/>
      <c r="AA2" s="3"/>
    </row>
    <row r="3" spans="1:27" s="997" customFormat="1" ht="18" customHeight="1">
      <c r="A3" s="1229" t="s">
        <v>2480</v>
      </c>
      <c r="B3" s="1229"/>
      <c r="C3" s="1229"/>
      <c r="D3" s="1229"/>
      <c r="E3" s="1229"/>
      <c r="F3" s="1229"/>
      <c r="G3" s="1229"/>
      <c r="H3" s="1229"/>
      <c r="I3" s="1229"/>
      <c r="J3" s="1229"/>
      <c r="K3" s="1229"/>
      <c r="L3" s="1229"/>
      <c r="M3" s="996"/>
      <c r="N3" s="996"/>
      <c r="O3" s="996" t="s">
        <v>2481</v>
      </c>
      <c r="P3" s="996"/>
      <c r="Q3" s="996"/>
      <c r="R3" s="996" t="s">
        <v>2482</v>
      </c>
    </row>
    <row r="4" spans="1:27" ht="15">
      <c r="A4" s="1230" t="s">
        <v>2483</v>
      </c>
      <c r="B4" s="1230"/>
      <c r="C4" s="1230"/>
      <c r="D4" s="1230"/>
      <c r="E4" s="1230"/>
      <c r="F4" s="1230"/>
      <c r="G4" s="1230"/>
      <c r="H4" s="1230"/>
      <c r="I4" s="1230"/>
      <c r="J4" s="1230"/>
      <c r="K4" s="1230"/>
      <c r="L4" s="998"/>
      <c r="M4" s="998"/>
      <c r="N4" s="998"/>
      <c r="O4" s="998"/>
      <c r="P4" s="998"/>
      <c r="Q4" s="998"/>
      <c r="R4" s="998"/>
    </row>
    <row r="5" spans="1:27" ht="27.75" customHeight="1">
      <c r="A5" s="1231" t="s">
        <v>1</v>
      </c>
      <c r="B5" s="1231" t="s">
        <v>2484</v>
      </c>
      <c r="C5" s="1232" t="s">
        <v>975</v>
      </c>
      <c r="D5" s="1231" t="s">
        <v>2485</v>
      </c>
      <c r="E5" s="1231"/>
      <c r="F5" s="1231"/>
      <c r="G5" s="1231"/>
      <c r="H5" s="1231"/>
      <c r="I5" s="1231"/>
      <c r="J5" s="1231"/>
      <c r="K5" s="1231"/>
      <c r="L5" s="1231"/>
      <c r="M5" s="998"/>
      <c r="N5" s="998"/>
      <c r="O5" s="998"/>
      <c r="P5" s="998"/>
      <c r="Q5" s="998"/>
      <c r="R5" s="998"/>
    </row>
    <row r="6" spans="1:27" ht="78" customHeight="1">
      <c r="A6" s="1231"/>
      <c r="B6" s="1231"/>
      <c r="C6" s="1232"/>
      <c r="D6" s="990" t="s">
        <v>164</v>
      </c>
      <c r="E6" s="990" t="s">
        <v>2486</v>
      </c>
      <c r="F6" s="990" t="s">
        <v>2487</v>
      </c>
      <c r="G6" s="990" t="s">
        <v>2488</v>
      </c>
      <c r="H6" s="990" t="s">
        <v>2489</v>
      </c>
      <c r="I6" s="990" t="s">
        <v>2490</v>
      </c>
      <c r="J6" s="990" t="s">
        <v>2491</v>
      </c>
      <c r="K6" s="990" t="s">
        <v>2492</v>
      </c>
      <c r="L6" s="990" t="s">
        <v>162</v>
      </c>
      <c r="M6" s="998"/>
      <c r="N6" s="998"/>
      <c r="O6" s="998"/>
      <c r="P6" s="998"/>
      <c r="Q6" s="998"/>
      <c r="R6" s="998"/>
    </row>
    <row r="7" spans="1:27" ht="15">
      <c r="A7" s="990">
        <v>1</v>
      </c>
      <c r="B7" s="1227" t="s">
        <v>2493</v>
      </c>
      <c r="C7" s="1000">
        <v>1</v>
      </c>
      <c r="D7" s="17"/>
      <c r="E7" s="990"/>
      <c r="F7" s="17"/>
      <c r="G7" s="17"/>
      <c r="H7" s="17"/>
      <c r="I7" s="17"/>
      <c r="J7" s="17"/>
      <c r="K7" s="17"/>
      <c r="L7" s="17"/>
      <c r="M7" s="998"/>
      <c r="N7" s="998"/>
      <c r="O7" s="998"/>
      <c r="P7" s="998"/>
      <c r="Q7" s="998"/>
      <c r="R7" s="998"/>
    </row>
    <row r="8" spans="1:27" ht="15">
      <c r="A8" s="990">
        <v>2</v>
      </c>
      <c r="B8" s="1227"/>
      <c r="C8" s="1000">
        <v>2</v>
      </c>
      <c r="D8" s="17"/>
      <c r="E8" s="990"/>
      <c r="F8" s="17"/>
      <c r="G8" s="17"/>
      <c r="H8" s="17"/>
      <c r="I8" s="17"/>
      <c r="J8" s="17"/>
      <c r="K8" s="17"/>
      <c r="L8" s="17"/>
      <c r="M8" s="998"/>
      <c r="N8" s="998"/>
      <c r="O8" s="998"/>
      <c r="P8" s="998"/>
      <c r="Q8" s="998"/>
      <c r="R8" s="998"/>
    </row>
    <row r="9" spans="1:27" ht="15">
      <c r="A9" s="990">
        <v>3</v>
      </c>
      <c r="B9" s="1227"/>
      <c r="C9" s="1000">
        <v>3</v>
      </c>
      <c r="D9" s="17"/>
      <c r="E9" s="990"/>
      <c r="F9" s="17"/>
      <c r="G9" s="17"/>
      <c r="H9" s="17"/>
      <c r="I9" s="17"/>
      <c r="J9" s="17"/>
      <c r="K9" s="17"/>
      <c r="L9" s="17"/>
      <c r="M9" s="998"/>
      <c r="N9" s="998"/>
      <c r="O9" s="998"/>
      <c r="P9" s="998"/>
      <c r="Q9" s="998"/>
      <c r="R9" s="998"/>
    </row>
    <row r="10" spans="1:27" ht="15">
      <c r="A10" s="990">
        <v>4</v>
      </c>
      <c r="B10" s="1227"/>
      <c r="C10" s="1000">
        <v>4</v>
      </c>
      <c r="D10" s="17"/>
      <c r="E10" s="990"/>
      <c r="F10" s="17"/>
      <c r="G10" s="17"/>
      <c r="H10" s="17"/>
      <c r="I10" s="17"/>
      <c r="J10" s="17"/>
      <c r="K10" s="17"/>
      <c r="L10" s="17"/>
      <c r="M10" s="998"/>
      <c r="N10" s="998"/>
      <c r="O10" s="998"/>
      <c r="P10" s="998"/>
      <c r="Q10" s="998"/>
      <c r="R10" s="998"/>
    </row>
    <row r="11" spans="1:27" ht="15">
      <c r="A11" s="990">
        <v>5</v>
      </c>
      <c r="B11" s="1227"/>
      <c r="C11" s="1000">
        <v>5</v>
      </c>
      <c r="D11" s="17"/>
      <c r="E11" s="990"/>
      <c r="F11" s="17"/>
      <c r="G11" s="17"/>
      <c r="H11" s="17"/>
      <c r="I11" s="17"/>
      <c r="J11" s="17"/>
      <c r="K11" s="17"/>
      <c r="L11" s="17"/>
      <c r="M11" s="998"/>
      <c r="N11" s="998"/>
      <c r="O11" s="998"/>
      <c r="P11" s="998"/>
      <c r="Q11" s="998"/>
      <c r="R11" s="998"/>
    </row>
    <row r="12" spans="1:27" ht="15">
      <c r="A12" s="990">
        <v>6</v>
      </c>
      <c r="B12" s="1227" t="s">
        <v>2494</v>
      </c>
      <c r="C12" s="1000">
        <v>1</v>
      </c>
      <c r="D12" s="17"/>
      <c r="E12" s="17"/>
      <c r="F12" s="17"/>
      <c r="G12" s="17"/>
      <c r="H12" s="17"/>
      <c r="I12" s="17"/>
      <c r="J12" s="17"/>
      <c r="K12" s="17"/>
      <c r="L12" s="17"/>
      <c r="M12" s="998"/>
      <c r="N12" s="998"/>
      <c r="O12" s="998"/>
      <c r="P12" s="998"/>
      <c r="Q12" s="998"/>
      <c r="R12" s="998"/>
    </row>
    <row r="13" spans="1:27" ht="15">
      <c r="A13" s="990">
        <v>7</v>
      </c>
      <c r="B13" s="1227"/>
      <c r="C13" s="1000">
        <v>2</v>
      </c>
      <c r="D13" s="17"/>
      <c r="E13" s="17"/>
      <c r="F13" s="17"/>
      <c r="G13" s="17"/>
      <c r="H13" s="17"/>
      <c r="I13" s="17"/>
      <c r="J13" s="17"/>
      <c r="K13" s="17"/>
      <c r="L13" s="17"/>
      <c r="M13" s="998"/>
      <c r="N13" s="998"/>
      <c r="O13" s="998"/>
      <c r="P13" s="998"/>
      <c r="Q13" s="998"/>
      <c r="R13" s="998"/>
    </row>
    <row r="14" spans="1:27" ht="15">
      <c r="A14" s="990">
        <v>8</v>
      </c>
      <c r="B14" s="1227"/>
      <c r="C14" s="1000">
        <v>3</v>
      </c>
      <c r="D14" s="17"/>
      <c r="E14" s="17"/>
      <c r="F14" s="17"/>
      <c r="G14" s="17"/>
      <c r="H14" s="17"/>
      <c r="I14" s="17"/>
      <c r="J14" s="17"/>
      <c r="K14" s="17"/>
      <c r="L14" s="17"/>
      <c r="M14" s="998"/>
      <c r="N14" s="998"/>
      <c r="O14" s="998"/>
      <c r="P14" s="998"/>
      <c r="Q14" s="998"/>
      <c r="R14" s="998"/>
    </row>
    <row r="15" spans="1:27" ht="15">
      <c r="A15" s="990">
        <v>9</v>
      </c>
      <c r="B15" s="1227"/>
      <c r="C15" s="1000">
        <v>4</v>
      </c>
      <c r="D15" s="17"/>
      <c r="E15" s="17"/>
      <c r="F15" s="17"/>
      <c r="G15" s="17"/>
      <c r="H15" s="17"/>
      <c r="I15" s="17"/>
      <c r="J15" s="17"/>
      <c r="K15" s="17"/>
      <c r="L15" s="17"/>
      <c r="M15" s="998"/>
      <c r="N15" s="998"/>
      <c r="O15" s="998"/>
      <c r="P15" s="998"/>
      <c r="Q15" s="998"/>
      <c r="R15" s="998"/>
    </row>
    <row r="16" spans="1:27" ht="15">
      <c r="A16" s="990">
        <v>10</v>
      </c>
      <c r="B16" s="1227"/>
      <c r="C16" s="1000">
        <v>5</v>
      </c>
      <c r="D16" s="17"/>
      <c r="E16" s="17"/>
      <c r="F16" s="17"/>
      <c r="G16" s="17"/>
      <c r="H16" s="17"/>
      <c r="I16" s="17"/>
      <c r="J16" s="17"/>
      <c r="K16" s="17"/>
      <c r="L16" s="17"/>
      <c r="M16" s="998"/>
      <c r="N16" s="998"/>
      <c r="O16" s="998"/>
      <c r="P16" s="998"/>
      <c r="Q16" s="998"/>
      <c r="R16" s="998"/>
    </row>
    <row r="17" spans="1:18" ht="15">
      <c r="A17" s="990">
        <v>11</v>
      </c>
      <c r="B17" s="1227" t="s">
        <v>2495</v>
      </c>
      <c r="C17" s="1000">
        <v>1</v>
      </c>
      <c r="D17" s="17"/>
      <c r="E17" s="17"/>
      <c r="F17" s="17"/>
      <c r="G17" s="17"/>
      <c r="H17" s="17"/>
      <c r="I17" s="17"/>
      <c r="J17" s="17"/>
      <c r="K17" s="17"/>
      <c r="L17" s="17"/>
      <c r="M17" s="998"/>
      <c r="N17" s="998"/>
      <c r="O17" s="998"/>
      <c r="P17" s="998"/>
      <c r="Q17" s="998"/>
      <c r="R17" s="998"/>
    </row>
    <row r="18" spans="1:18" ht="15">
      <c r="A18" s="990">
        <v>12</v>
      </c>
      <c r="B18" s="1227"/>
      <c r="C18" s="1000">
        <v>2</v>
      </c>
      <c r="D18" s="17"/>
      <c r="E18" s="17"/>
      <c r="F18" s="17"/>
      <c r="G18" s="17"/>
      <c r="H18" s="17"/>
      <c r="I18" s="17"/>
      <c r="J18" s="17"/>
      <c r="K18" s="17"/>
      <c r="L18" s="17"/>
      <c r="M18" s="998"/>
      <c r="N18" s="998"/>
      <c r="O18" s="998"/>
      <c r="P18" s="998"/>
      <c r="Q18" s="998"/>
      <c r="R18" s="998"/>
    </row>
    <row r="19" spans="1:18" ht="15">
      <c r="A19" s="990">
        <v>13</v>
      </c>
      <c r="B19" s="1227"/>
      <c r="C19" s="1000">
        <v>3</v>
      </c>
      <c r="D19" s="17"/>
      <c r="E19" s="17"/>
      <c r="F19" s="17"/>
      <c r="G19" s="17"/>
      <c r="H19" s="17"/>
      <c r="I19" s="17"/>
      <c r="J19" s="17"/>
      <c r="K19" s="17"/>
      <c r="L19" s="17"/>
      <c r="M19" s="998"/>
      <c r="N19" s="998"/>
      <c r="O19" s="998"/>
      <c r="P19" s="998"/>
      <c r="Q19" s="998"/>
      <c r="R19" s="998"/>
    </row>
    <row r="20" spans="1:18" ht="15">
      <c r="A20" s="990">
        <v>14</v>
      </c>
      <c r="B20" s="1227"/>
      <c r="C20" s="1000">
        <v>4</v>
      </c>
      <c r="D20" s="17"/>
      <c r="E20" s="17"/>
      <c r="F20" s="17"/>
      <c r="G20" s="17"/>
      <c r="H20" s="17"/>
      <c r="I20" s="17"/>
      <c r="J20" s="17"/>
      <c r="K20" s="17"/>
      <c r="L20" s="17"/>
      <c r="M20" s="998"/>
      <c r="N20" s="998"/>
      <c r="O20" s="998"/>
      <c r="P20" s="998"/>
      <c r="Q20" s="998"/>
      <c r="R20" s="998"/>
    </row>
    <row r="21" spans="1:18" ht="15">
      <c r="A21" s="990">
        <v>15</v>
      </c>
      <c r="B21" s="1227"/>
      <c r="C21" s="1000">
        <v>5</v>
      </c>
      <c r="D21" s="17"/>
      <c r="E21" s="17"/>
      <c r="F21" s="17"/>
      <c r="G21" s="17"/>
      <c r="H21" s="17"/>
      <c r="I21" s="17"/>
      <c r="J21" s="17"/>
      <c r="K21" s="17"/>
      <c r="L21" s="17"/>
      <c r="M21" s="998"/>
      <c r="N21" s="998"/>
      <c r="O21" s="998"/>
      <c r="P21" s="998"/>
      <c r="Q21" s="998"/>
      <c r="R21" s="998"/>
    </row>
    <row r="22" spans="1:18" ht="15">
      <c r="A22" s="990">
        <v>16</v>
      </c>
      <c r="B22" s="1227" t="s">
        <v>2496</v>
      </c>
      <c r="C22" s="1000">
        <v>1</v>
      </c>
      <c r="D22" s="17"/>
      <c r="E22" s="17"/>
      <c r="F22" s="17"/>
      <c r="G22" s="17"/>
      <c r="H22" s="17"/>
      <c r="I22" s="17"/>
      <c r="J22" s="17"/>
      <c r="K22" s="17"/>
      <c r="L22" s="17"/>
      <c r="M22" s="998"/>
      <c r="N22" s="998"/>
      <c r="O22" s="998"/>
      <c r="P22" s="998"/>
      <c r="Q22" s="998"/>
      <c r="R22" s="998"/>
    </row>
    <row r="23" spans="1:18" ht="15">
      <c r="A23" s="990">
        <v>17</v>
      </c>
      <c r="B23" s="1227"/>
      <c r="C23" s="1000">
        <v>2</v>
      </c>
      <c r="D23" s="17"/>
      <c r="E23" s="17"/>
      <c r="F23" s="17"/>
      <c r="G23" s="17"/>
      <c r="H23" s="17"/>
      <c r="I23" s="17"/>
      <c r="J23" s="17"/>
      <c r="K23" s="17"/>
      <c r="L23" s="17"/>
      <c r="M23" s="998"/>
      <c r="N23" s="998"/>
      <c r="O23" s="998"/>
      <c r="P23" s="998"/>
      <c r="Q23" s="998"/>
      <c r="R23" s="998"/>
    </row>
    <row r="24" spans="1:18" ht="15">
      <c r="A24" s="990">
        <v>18</v>
      </c>
      <c r="B24" s="1227"/>
      <c r="C24" s="1000">
        <v>3</v>
      </c>
      <c r="D24" s="17"/>
      <c r="E24" s="17"/>
      <c r="F24" s="17"/>
      <c r="G24" s="17"/>
      <c r="H24" s="17"/>
      <c r="I24" s="17"/>
      <c r="J24" s="17"/>
      <c r="K24" s="17"/>
      <c r="L24" s="17"/>
      <c r="M24" s="998"/>
      <c r="N24" s="998"/>
      <c r="O24" s="998"/>
      <c r="P24" s="998"/>
      <c r="Q24" s="998"/>
      <c r="R24" s="998"/>
    </row>
    <row r="25" spans="1:18" ht="15">
      <c r="A25" s="990">
        <v>19</v>
      </c>
      <c r="B25" s="1227"/>
      <c r="C25" s="1000">
        <v>4</v>
      </c>
      <c r="D25" s="17"/>
      <c r="E25" s="17"/>
      <c r="F25" s="17"/>
      <c r="G25" s="17"/>
      <c r="H25" s="17"/>
      <c r="I25" s="17"/>
      <c r="J25" s="17"/>
      <c r="K25" s="17"/>
      <c r="L25" s="17"/>
      <c r="M25" s="998"/>
      <c r="N25" s="998"/>
      <c r="O25" s="998"/>
      <c r="P25" s="998"/>
      <c r="Q25" s="998"/>
      <c r="R25" s="998"/>
    </row>
    <row r="26" spans="1:18" ht="15">
      <c r="A26" s="990">
        <v>20</v>
      </c>
      <c r="B26" s="1227"/>
      <c r="C26" s="1000">
        <v>5</v>
      </c>
      <c r="D26" s="17"/>
      <c r="E26" s="17"/>
      <c r="F26" s="17"/>
      <c r="G26" s="17"/>
      <c r="H26" s="17"/>
      <c r="I26" s="17"/>
      <c r="J26" s="17"/>
      <c r="K26" s="17"/>
      <c r="L26" s="17"/>
      <c r="M26" s="998"/>
      <c r="N26" s="998"/>
      <c r="O26" s="998"/>
      <c r="P26" s="998"/>
      <c r="Q26" s="998"/>
      <c r="R26" s="998"/>
    </row>
    <row r="27" spans="1:18" ht="15">
      <c r="A27" s="990">
        <v>21</v>
      </c>
      <c r="B27" s="1227" t="s">
        <v>2497</v>
      </c>
      <c r="C27" s="1000">
        <v>1</v>
      </c>
      <c r="D27" s="17"/>
      <c r="E27" s="17"/>
      <c r="F27" s="17"/>
      <c r="G27" s="17"/>
      <c r="H27" s="17"/>
      <c r="I27" s="17"/>
      <c r="J27" s="17"/>
      <c r="K27" s="17"/>
      <c r="L27" s="17"/>
      <c r="M27" s="998"/>
      <c r="N27" s="998"/>
      <c r="O27" s="998"/>
      <c r="P27" s="998"/>
      <c r="Q27" s="998"/>
      <c r="R27" s="998"/>
    </row>
    <row r="28" spans="1:18" ht="15">
      <c r="A28" s="990">
        <v>22</v>
      </c>
      <c r="B28" s="1227"/>
      <c r="C28" s="1000">
        <v>2</v>
      </c>
      <c r="D28" s="17"/>
      <c r="E28" s="17"/>
      <c r="F28" s="17"/>
      <c r="G28" s="17"/>
      <c r="H28" s="17"/>
      <c r="I28" s="17"/>
      <c r="J28" s="17"/>
      <c r="K28" s="17"/>
      <c r="L28" s="17"/>
      <c r="M28" s="998"/>
      <c r="N28" s="998"/>
      <c r="O28" s="998"/>
      <c r="P28" s="998"/>
      <c r="Q28" s="998"/>
      <c r="R28" s="998"/>
    </row>
    <row r="29" spans="1:18" ht="15">
      <c r="A29" s="990">
        <v>23</v>
      </c>
      <c r="B29" s="1227"/>
      <c r="C29" s="1000">
        <v>3</v>
      </c>
      <c r="D29" s="17"/>
      <c r="E29" s="17"/>
      <c r="F29" s="17"/>
      <c r="G29" s="17"/>
      <c r="H29" s="17"/>
      <c r="I29" s="17"/>
      <c r="J29" s="17"/>
      <c r="K29" s="17"/>
      <c r="L29" s="17"/>
      <c r="M29" s="998"/>
      <c r="N29" s="998"/>
      <c r="O29" s="998"/>
      <c r="P29" s="998"/>
      <c r="Q29" s="998"/>
      <c r="R29" s="998"/>
    </row>
    <row r="30" spans="1:18" ht="15">
      <c r="A30" s="990">
        <v>24</v>
      </c>
      <c r="B30" s="1227"/>
      <c r="C30" s="1000">
        <v>4</v>
      </c>
      <c r="D30" s="17"/>
      <c r="E30" s="17"/>
      <c r="F30" s="17"/>
      <c r="G30" s="17"/>
      <c r="H30" s="17"/>
      <c r="I30" s="17"/>
      <c r="J30" s="17"/>
      <c r="K30" s="17"/>
      <c r="L30" s="17"/>
      <c r="M30" s="998"/>
      <c r="N30" s="998"/>
      <c r="O30" s="998"/>
      <c r="P30" s="998"/>
      <c r="Q30" s="998"/>
      <c r="R30" s="998"/>
    </row>
    <row r="31" spans="1:18" s="1002" customFormat="1" ht="15">
      <c r="A31" s="990">
        <v>25</v>
      </c>
      <c r="B31" s="1227"/>
      <c r="C31" s="1000">
        <v>5</v>
      </c>
      <c r="D31" s="1001"/>
      <c r="E31" s="1001"/>
      <c r="F31" s="1001"/>
      <c r="G31" s="1001"/>
      <c r="H31" s="1001"/>
      <c r="I31" s="1001"/>
      <c r="J31" s="1001"/>
      <c r="K31" s="1001"/>
      <c r="L31" s="1001"/>
      <c r="M31" s="998"/>
      <c r="N31" s="998"/>
      <c r="O31" s="998"/>
      <c r="P31" s="998"/>
      <c r="Q31" s="998"/>
      <c r="R31" s="998"/>
    </row>
    <row r="32" spans="1:18" ht="15">
      <c r="A32" s="990">
        <v>26</v>
      </c>
      <c r="B32" s="1227" t="s">
        <v>2498</v>
      </c>
      <c r="C32" s="1000">
        <v>1</v>
      </c>
      <c r="D32" s="1003"/>
      <c r="E32" s="1003"/>
      <c r="F32" s="1003"/>
      <c r="G32" s="1003"/>
      <c r="H32" s="1003"/>
      <c r="I32" s="1003"/>
      <c r="J32" s="1003"/>
      <c r="K32" s="1003"/>
      <c r="L32" s="1003"/>
      <c r="M32" s="11"/>
      <c r="N32" s="11"/>
      <c r="O32" s="11"/>
      <c r="P32" s="998"/>
      <c r="Q32" s="998"/>
      <c r="R32" s="998"/>
    </row>
    <row r="33" spans="1:18" ht="15">
      <c r="A33" s="990">
        <v>27</v>
      </c>
      <c r="B33" s="1227"/>
      <c r="C33" s="1000">
        <v>2</v>
      </c>
      <c r="D33" s="1003"/>
      <c r="E33" s="1003"/>
      <c r="F33" s="1003"/>
      <c r="G33" s="1003"/>
      <c r="H33" s="1003"/>
      <c r="I33" s="1003"/>
      <c r="J33" s="1003"/>
      <c r="K33" s="1003"/>
      <c r="L33" s="1003"/>
      <c r="M33" s="11"/>
      <c r="N33" s="11"/>
      <c r="O33" s="11"/>
      <c r="P33" s="998"/>
      <c r="Q33" s="998"/>
      <c r="R33" s="998"/>
    </row>
    <row r="34" spans="1:18" ht="15">
      <c r="A34" s="990">
        <v>28</v>
      </c>
      <c r="B34" s="1227"/>
      <c r="C34" s="1000">
        <v>3</v>
      </c>
      <c r="D34" s="9"/>
      <c r="E34" s="9"/>
      <c r="F34" s="9"/>
      <c r="G34" s="9"/>
      <c r="H34" s="9"/>
      <c r="I34" s="9"/>
      <c r="J34" s="9"/>
      <c r="K34" s="9"/>
      <c r="L34" s="9"/>
      <c r="M34"/>
      <c r="N34"/>
      <c r="O34"/>
      <c r="P34"/>
      <c r="Q34"/>
      <c r="R34"/>
    </row>
    <row r="35" spans="1:18" ht="15">
      <c r="A35" s="990">
        <v>29</v>
      </c>
      <c r="B35" s="1227"/>
      <c r="C35" s="1000">
        <v>4</v>
      </c>
      <c r="D35" s="9"/>
      <c r="E35" s="9"/>
      <c r="F35" s="9"/>
      <c r="G35" s="9"/>
      <c r="H35" s="9"/>
      <c r="I35" s="9"/>
      <c r="J35" s="9"/>
      <c r="K35" s="9"/>
      <c r="L35" s="9"/>
      <c r="M35"/>
      <c r="N35"/>
      <c r="O35"/>
      <c r="P35"/>
      <c r="Q35"/>
      <c r="R35"/>
    </row>
    <row r="36" spans="1:18" ht="15">
      <c r="A36" s="990">
        <v>30</v>
      </c>
      <c r="B36" s="1227"/>
      <c r="C36" s="1000">
        <v>5</v>
      </c>
      <c r="D36" s="1004"/>
      <c r="E36" s="1004"/>
      <c r="F36" s="1004"/>
      <c r="G36" s="1004"/>
      <c r="H36" s="1004"/>
      <c r="I36" s="1004"/>
      <c r="J36" s="1004"/>
      <c r="K36" s="1004"/>
      <c r="L36" s="1004"/>
    </row>
    <row r="37" spans="1:18" ht="15">
      <c r="A37" s="990">
        <v>31</v>
      </c>
      <c r="B37" s="1227" t="s">
        <v>2499</v>
      </c>
      <c r="C37" s="1000">
        <v>1</v>
      </c>
      <c r="D37" s="1004"/>
      <c r="E37" s="1004"/>
      <c r="F37" s="1004"/>
      <c r="G37" s="1004"/>
      <c r="H37" s="1004"/>
      <c r="I37" s="1004"/>
      <c r="J37" s="1004"/>
      <c r="K37" s="1004"/>
      <c r="L37" s="1004"/>
    </row>
    <row r="38" spans="1:18" ht="15">
      <c r="A38" s="990">
        <v>32</v>
      </c>
      <c r="B38" s="1227"/>
      <c r="C38" s="1000">
        <v>2</v>
      </c>
      <c r="D38" s="1004"/>
      <c r="E38" s="1004"/>
      <c r="F38" s="1004"/>
      <c r="G38" s="1004"/>
      <c r="H38" s="1004"/>
      <c r="I38" s="1004"/>
      <c r="J38" s="1004"/>
      <c r="K38" s="1004"/>
      <c r="L38" s="1004"/>
    </row>
    <row r="39" spans="1:18" ht="15">
      <c r="A39" s="990">
        <v>33</v>
      </c>
      <c r="B39" s="1227"/>
      <c r="C39" s="1000">
        <v>3</v>
      </c>
      <c r="D39" s="1004"/>
      <c r="E39" s="1004"/>
      <c r="F39" s="1004"/>
      <c r="G39" s="1004"/>
      <c r="H39" s="1004"/>
      <c r="I39" s="1004"/>
      <c r="J39" s="1004"/>
      <c r="K39" s="1004"/>
      <c r="L39" s="1004"/>
    </row>
    <row r="40" spans="1:18" ht="15">
      <c r="A40" s="990">
        <v>34</v>
      </c>
      <c r="B40" s="1227"/>
      <c r="C40" s="1000">
        <v>4</v>
      </c>
      <c r="D40" s="1004"/>
      <c r="E40" s="1004"/>
      <c r="F40" s="1004"/>
      <c r="G40" s="1004"/>
      <c r="H40" s="1004"/>
      <c r="I40" s="1004"/>
      <c r="J40" s="1004"/>
      <c r="K40" s="1004"/>
      <c r="L40" s="1004"/>
    </row>
    <row r="41" spans="1:18" ht="15">
      <c r="A41" s="990">
        <v>35</v>
      </c>
      <c r="B41" s="1227"/>
      <c r="C41" s="1000">
        <v>5</v>
      </c>
      <c r="D41" s="1004"/>
      <c r="E41" s="1004"/>
      <c r="F41" s="1004"/>
      <c r="G41" s="1004"/>
      <c r="H41" s="1004"/>
      <c r="I41" s="1004"/>
      <c r="J41" s="1004"/>
      <c r="K41" s="1004"/>
      <c r="L41" s="1004"/>
    </row>
    <row r="42" spans="1:18" ht="15">
      <c r="A42" s="990">
        <v>36</v>
      </c>
      <c r="B42" s="1227" t="s">
        <v>2500</v>
      </c>
      <c r="C42" s="1000">
        <v>1</v>
      </c>
      <c r="D42" s="1004"/>
      <c r="E42" s="1004"/>
      <c r="F42" s="1004"/>
      <c r="G42" s="1004"/>
      <c r="H42" s="1004"/>
      <c r="I42" s="1004"/>
      <c r="J42" s="1004"/>
      <c r="K42" s="1004"/>
      <c r="L42" s="1004"/>
    </row>
    <row r="43" spans="1:18" ht="15">
      <c r="A43" s="990">
        <v>37</v>
      </c>
      <c r="B43" s="1227"/>
      <c r="C43" s="1000">
        <v>2</v>
      </c>
      <c r="D43" s="1004"/>
      <c r="E43" s="1004"/>
      <c r="F43" s="1004"/>
      <c r="G43" s="1004"/>
      <c r="H43" s="1004"/>
      <c r="I43" s="1004"/>
      <c r="J43" s="1004"/>
      <c r="K43" s="1004"/>
      <c r="L43" s="1004"/>
    </row>
    <row r="44" spans="1:18" ht="15">
      <c r="A44" s="990">
        <v>38</v>
      </c>
      <c r="B44" s="1227"/>
      <c r="C44" s="1000">
        <v>3</v>
      </c>
      <c r="D44" s="1004"/>
      <c r="E44" s="1004"/>
      <c r="F44" s="1004"/>
      <c r="G44" s="1004"/>
      <c r="H44" s="1004"/>
      <c r="I44" s="1004"/>
      <c r="J44" s="1004"/>
      <c r="K44" s="1004"/>
      <c r="L44" s="1004"/>
    </row>
    <row r="45" spans="1:18" ht="15">
      <c r="A45" s="990">
        <v>39</v>
      </c>
      <c r="B45" s="1227"/>
      <c r="C45" s="1000">
        <v>4</v>
      </c>
      <c r="D45" s="1004"/>
      <c r="E45" s="1004"/>
      <c r="F45" s="1004"/>
      <c r="G45" s="1004"/>
      <c r="H45" s="1004"/>
      <c r="I45" s="1004"/>
      <c r="J45" s="1004"/>
      <c r="K45" s="1004"/>
      <c r="L45" s="1004"/>
    </row>
    <row r="46" spans="1:18" ht="15">
      <c r="A46" s="990">
        <v>40</v>
      </c>
      <c r="B46" s="1227"/>
      <c r="C46" s="1000">
        <v>5</v>
      </c>
      <c r="D46" s="1004"/>
      <c r="E46" s="1004"/>
      <c r="F46" s="1004"/>
      <c r="G46" s="1004"/>
      <c r="H46" s="1004"/>
      <c r="I46" s="1004"/>
      <c r="J46" s="1004"/>
      <c r="K46" s="1004"/>
      <c r="L46" s="1004"/>
    </row>
    <row r="47" spans="1:18" ht="15">
      <c r="A47" s="990">
        <v>41</v>
      </c>
      <c r="B47" s="1227" t="s">
        <v>2501</v>
      </c>
      <c r="C47" s="1000">
        <v>1</v>
      </c>
      <c r="D47" s="1004"/>
      <c r="E47" s="1004"/>
      <c r="F47" s="1004"/>
      <c r="G47" s="1004"/>
      <c r="H47" s="1004"/>
      <c r="I47" s="1004"/>
      <c r="J47" s="1004"/>
      <c r="K47" s="1004"/>
      <c r="L47" s="1004"/>
    </row>
    <row r="48" spans="1:18" ht="15">
      <c r="A48" s="990">
        <v>42</v>
      </c>
      <c r="B48" s="1227"/>
      <c r="C48" s="1000">
        <v>2</v>
      </c>
      <c r="D48" s="1004"/>
      <c r="E48" s="1004"/>
      <c r="F48" s="1004"/>
      <c r="G48" s="1004"/>
      <c r="H48" s="1004"/>
      <c r="I48" s="1004"/>
      <c r="J48" s="1004"/>
      <c r="K48" s="1004"/>
      <c r="L48" s="1004"/>
    </row>
    <row r="49" spans="1:12" ht="15">
      <c r="A49" s="990">
        <v>43</v>
      </c>
      <c r="B49" s="1227"/>
      <c r="C49" s="1000">
        <v>3</v>
      </c>
      <c r="D49" s="1004"/>
      <c r="E49" s="1004"/>
      <c r="F49" s="1004"/>
      <c r="G49" s="1004"/>
      <c r="H49" s="1004"/>
      <c r="I49" s="1004"/>
      <c r="J49" s="1004"/>
      <c r="K49" s="1004"/>
      <c r="L49" s="1004"/>
    </row>
    <row r="50" spans="1:12" ht="15">
      <c r="A50" s="990">
        <v>44</v>
      </c>
      <c r="B50" s="1227"/>
      <c r="C50" s="1000">
        <v>4</v>
      </c>
      <c r="D50" s="1004"/>
      <c r="E50" s="1004"/>
      <c r="F50" s="1004"/>
      <c r="G50" s="1004"/>
      <c r="H50" s="1004"/>
      <c r="I50" s="1004"/>
      <c r="J50" s="1004"/>
      <c r="K50" s="1004"/>
      <c r="L50" s="1004"/>
    </row>
    <row r="51" spans="1:12" ht="15">
      <c r="A51" s="990">
        <v>45</v>
      </c>
      <c r="B51" s="1227"/>
      <c r="C51" s="1000">
        <v>5</v>
      </c>
      <c r="D51" s="1004"/>
      <c r="E51" s="1004"/>
      <c r="F51" s="1004"/>
      <c r="G51" s="1004"/>
      <c r="H51" s="1004"/>
      <c r="I51" s="1004"/>
      <c r="J51" s="1004"/>
      <c r="K51" s="1004"/>
      <c r="L51" s="1004"/>
    </row>
    <row r="52" spans="1:12" ht="15">
      <c r="A52" s="990">
        <v>46</v>
      </c>
      <c r="B52" s="1227" t="s">
        <v>2502</v>
      </c>
      <c r="C52" s="1000">
        <v>1</v>
      </c>
      <c r="D52" s="1004"/>
      <c r="E52" s="1004"/>
      <c r="F52" s="1004"/>
      <c r="G52" s="1004"/>
      <c r="H52" s="1004"/>
      <c r="I52" s="1004"/>
      <c r="J52" s="1004"/>
      <c r="K52" s="1004"/>
      <c r="L52" s="1004"/>
    </row>
    <row r="53" spans="1:12" ht="15">
      <c r="A53" s="990">
        <v>47</v>
      </c>
      <c r="B53" s="1227"/>
      <c r="C53" s="1000">
        <v>2</v>
      </c>
      <c r="D53" s="1004"/>
      <c r="E53" s="1004"/>
      <c r="F53" s="1004"/>
      <c r="G53" s="1004"/>
      <c r="H53" s="1004"/>
      <c r="I53" s="1004"/>
      <c r="J53" s="1004"/>
      <c r="K53" s="1004"/>
      <c r="L53" s="1004"/>
    </row>
    <row r="54" spans="1:12" ht="15">
      <c r="A54" s="990">
        <v>48</v>
      </c>
      <c r="B54" s="1227"/>
      <c r="C54" s="1000">
        <v>3</v>
      </c>
      <c r="D54" s="1004"/>
      <c r="E54" s="1004"/>
      <c r="F54" s="1004"/>
      <c r="G54" s="1004"/>
      <c r="H54" s="1004"/>
      <c r="I54" s="1004"/>
      <c r="J54" s="1004"/>
      <c r="K54" s="1004"/>
      <c r="L54" s="1004"/>
    </row>
    <row r="55" spans="1:12" ht="15">
      <c r="A55" s="990">
        <v>49</v>
      </c>
      <c r="B55" s="1227"/>
      <c r="C55" s="1000">
        <v>4</v>
      </c>
      <c r="D55" s="1004"/>
      <c r="E55" s="1004"/>
      <c r="F55" s="1004"/>
      <c r="G55" s="1004"/>
      <c r="H55" s="1004"/>
      <c r="I55" s="1004"/>
      <c r="J55" s="1004"/>
      <c r="K55" s="1004"/>
      <c r="L55" s="1004"/>
    </row>
    <row r="56" spans="1:12" ht="15">
      <c r="A56" s="990">
        <v>50</v>
      </c>
      <c r="B56" s="1227"/>
      <c r="C56" s="1000">
        <v>5</v>
      </c>
      <c r="D56" s="1004"/>
      <c r="E56" s="1004"/>
      <c r="F56" s="1004"/>
      <c r="G56" s="1004"/>
      <c r="H56" s="1004"/>
      <c r="I56" s="1004"/>
      <c r="J56" s="1004"/>
      <c r="K56" s="1004"/>
      <c r="L56" s="1004"/>
    </row>
    <row r="57" spans="1:12" ht="15">
      <c r="A57" s="990">
        <v>51</v>
      </c>
      <c r="B57" s="1227" t="s">
        <v>2503</v>
      </c>
      <c r="C57" s="1000">
        <v>1</v>
      </c>
      <c r="D57" s="1004"/>
      <c r="E57" s="1004"/>
      <c r="F57" s="1004"/>
      <c r="G57" s="1004"/>
      <c r="H57" s="1004"/>
      <c r="I57" s="1004"/>
      <c r="J57" s="1004"/>
      <c r="K57" s="1004"/>
      <c r="L57" s="1004"/>
    </row>
    <row r="58" spans="1:12" ht="15">
      <c r="A58" s="990">
        <v>52</v>
      </c>
      <c r="B58" s="1227"/>
      <c r="C58" s="1000">
        <v>2</v>
      </c>
      <c r="D58" s="1004"/>
      <c r="E58" s="1004"/>
      <c r="F58" s="1004"/>
      <c r="G58" s="1004"/>
      <c r="H58" s="1004"/>
      <c r="I58" s="1004"/>
      <c r="J58" s="1004"/>
      <c r="K58" s="1004"/>
      <c r="L58" s="1004"/>
    </row>
    <row r="59" spans="1:12" ht="15">
      <c r="A59" s="990">
        <v>53</v>
      </c>
      <c r="B59" s="1227"/>
      <c r="C59" s="1000">
        <v>3</v>
      </c>
      <c r="D59" s="1004"/>
      <c r="E59" s="1004"/>
      <c r="F59" s="1004"/>
      <c r="G59" s="1004"/>
      <c r="H59" s="1004"/>
      <c r="I59" s="1004"/>
      <c r="J59" s="1004"/>
      <c r="K59" s="1004"/>
      <c r="L59" s="1004"/>
    </row>
    <row r="60" spans="1:12" ht="15">
      <c r="A60" s="990">
        <v>54</v>
      </c>
      <c r="B60" s="1227"/>
      <c r="C60" s="1000">
        <v>4</v>
      </c>
      <c r="D60" s="1004"/>
      <c r="E60" s="1004"/>
      <c r="F60" s="1004"/>
      <c r="G60" s="1004"/>
      <c r="H60" s="1004"/>
      <c r="I60" s="1004"/>
      <c r="J60" s="1004"/>
      <c r="K60" s="1004"/>
      <c r="L60" s="1004"/>
    </row>
    <row r="61" spans="1:12" ht="15">
      <c r="A61" s="990">
        <v>55</v>
      </c>
      <c r="B61" s="1227"/>
      <c r="C61" s="1000">
        <v>5</v>
      </c>
      <c r="D61" s="1004"/>
      <c r="E61" s="1004"/>
      <c r="F61" s="1004"/>
      <c r="G61" s="1004"/>
      <c r="H61" s="1004"/>
      <c r="I61" s="1004"/>
      <c r="J61" s="1004"/>
      <c r="K61" s="1004"/>
      <c r="L61" s="1004"/>
    </row>
    <row r="62" spans="1:12" ht="15">
      <c r="A62" s="990">
        <v>56</v>
      </c>
      <c r="B62" s="1227" t="s">
        <v>2504</v>
      </c>
      <c r="C62" s="1000">
        <v>1</v>
      </c>
      <c r="D62" s="1004"/>
      <c r="E62" s="1004"/>
      <c r="F62" s="1004"/>
      <c r="G62" s="1004"/>
      <c r="H62" s="1004"/>
      <c r="I62" s="1004"/>
      <c r="J62" s="1004"/>
      <c r="K62" s="1004"/>
      <c r="L62" s="1004"/>
    </row>
    <row r="63" spans="1:12" ht="15">
      <c r="A63" s="990">
        <v>57</v>
      </c>
      <c r="B63" s="1227"/>
      <c r="C63" s="1000">
        <v>2</v>
      </c>
      <c r="D63" s="1004"/>
      <c r="E63" s="1004"/>
      <c r="F63" s="1004"/>
      <c r="G63" s="1004"/>
      <c r="H63" s="1004"/>
      <c r="I63" s="1004"/>
      <c r="J63" s="1004"/>
      <c r="K63" s="1004"/>
      <c r="L63" s="1004"/>
    </row>
    <row r="64" spans="1:12" ht="15">
      <c r="A64" s="990">
        <v>58</v>
      </c>
      <c r="B64" s="1227"/>
      <c r="C64" s="1000">
        <v>3</v>
      </c>
      <c r="D64" s="1004"/>
      <c r="E64" s="1004"/>
      <c r="F64" s="1004"/>
      <c r="G64" s="1004"/>
      <c r="H64" s="1004"/>
      <c r="I64" s="1004"/>
      <c r="J64" s="1004"/>
      <c r="K64" s="1004"/>
      <c r="L64" s="1004"/>
    </row>
    <row r="65" spans="1:12" ht="15">
      <c r="A65" s="990">
        <v>59</v>
      </c>
      <c r="B65" s="1227"/>
      <c r="C65" s="1000">
        <v>4</v>
      </c>
      <c r="D65" s="1004"/>
      <c r="E65" s="1004"/>
      <c r="F65" s="1004"/>
      <c r="G65" s="1004"/>
      <c r="H65" s="1004"/>
      <c r="I65" s="1004"/>
      <c r="J65" s="1004"/>
      <c r="K65" s="1004"/>
      <c r="L65" s="1004"/>
    </row>
    <row r="66" spans="1:12" ht="15">
      <c r="A66" s="990">
        <v>60</v>
      </c>
      <c r="B66" s="1227"/>
      <c r="C66" s="1000">
        <v>5</v>
      </c>
      <c r="D66" s="1004"/>
      <c r="E66" s="1004"/>
      <c r="F66" s="1004"/>
      <c r="G66" s="1004"/>
      <c r="H66" s="1004"/>
      <c r="I66" s="1004"/>
      <c r="J66" s="1004"/>
      <c r="K66" s="1004"/>
      <c r="L66" s="1004"/>
    </row>
    <row r="67" spans="1:12" ht="15">
      <c r="A67" s="990">
        <v>61</v>
      </c>
      <c r="B67" s="1227" t="s">
        <v>2505</v>
      </c>
      <c r="C67" s="1005">
        <v>1</v>
      </c>
      <c r="D67" s="1004"/>
      <c r="E67" s="1004"/>
      <c r="F67" s="1004"/>
      <c r="G67" s="1004"/>
      <c r="H67" s="1004"/>
      <c r="I67" s="1004"/>
      <c r="J67" s="1004"/>
      <c r="K67" s="1004"/>
      <c r="L67" s="1004"/>
    </row>
    <row r="68" spans="1:12" ht="15">
      <c r="A68" s="990">
        <v>62</v>
      </c>
      <c r="B68" s="1227"/>
      <c r="C68" s="1005">
        <v>2</v>
      </c>
      <c r="D68" s="1004"/>
      <c r="E68" s="1004"/>
      <c r="F68" s="1004"/>
      <c r="G68" s="1004"/>
      <c r="H68" s="1004"/>
      <c r="I68" s="1004"/>
      <c r="J68" s="1004"/>
      <c r="K68" s="1004"/>
      <c r="L68" s="1004"/>
    </row>
    <row r="69" spans="1:12" ht="15">
      <c r="A69" s="990">
        <v>63</v>
      </c>
      <c r="B69" s="1227"/>
      <c r="C69" s="1005">
        <v>3</v>
      </c>
      <c r="D69" s="1004"/>
      <c r="E69" s="1004"/>
      <c r="F69" s="1004"/>
      <c r="G69" s="1004"/>
      <c r="H69" s="1004"/>
      <c r="I69" s="1004"/>
      <c r="J69" s="1004"/>
      <c r="K69" s="1004"/>
      <c r="L69" s="1004"/>
    </row>
    <row r="70" spans="1:12" ht="15">
      <c r="A70" s="990">
        <v>64</v>
      </c>
      <c r="B70" s="1227"/>
      <c r="C70" s="1005">
        <v>4</v>
      </c>
      <c r="D70" s="1004"/>
      <c r="E70" s="1004"/>
      <c r="F70" s="1004"/>
      <c r="G70" s="1004"/>
      <c r="H70" s="1004"/>
      <c r="I70" s="1004"/>
      <c r="J70" s="1004"/>
      <c r="K70" s="1004"/>
      <c r="L70" s="1004"/>
    </row>
    <row r="71" spans="1:12" ht="15">
      <c r="A71" s="990">
        <v>65</v>
      </c>
      <c r="B71" s="1227"/>
      <c r="C71" s="1005">
        <v>5</v>
      </c>
      <c r="D71" s="1004"/>
      <c r="E71" s="1004"/>
      <c r="F71" s="1004"/>
      <c r="G71" s="1004"/>
      <c r="H71" s="1004"/>
      <c r="I71" s="1004"/>
      <c r="J71" s="1004"/>
      <c r="K71" s="1004"/>
      <c r="L71" s="1004"/>
    </row>
    <row r="72" spans="1:12" ht="15">
      <c r="A72" s="990">
        <v>66</v>
      </c>
      <c r="B72" s="1227" t="s">
        <v>2506</v>
      </c>
      <c r="C72" s="1005">
        <v>1</v>
      </c>
      <c r="D72" s="1004"/>
      <c r="E72" s="1004"/>
      <c r="F72" s="1004"/>
      <c r="G72" s="1004"/>
      <c r="H72" s="1004"/>
      <c r="I72" s="1004"/>
      <c r="J72" s="1004"/>
      <c r="K72" s="1004"/>
      <c r="L72" s="1004"/>
    </row>
    <row r="73" spans="1:12" ht="15">
      <c r="A73" s="990">
        <v>67</v>
      </c>
      <c r="B73" s="1227"/>
      <c r="C73" s="1005">
        <v>2</v>
      </c>
      <c r="D73" s="1004"/>
      <c r="E73" s="1004"/>
      <c r="F73" s="1004"/>
      <c r="G73" s="1004"/>
      <c r="H73" s="1004"/>
      <c r="I73" s="1004"/>
      <c r="J73" s="1004"/>
      <c r="K73" s="1004"/>
      <c r="L73" s="1004"/>
    </row>
    <row r="74" spans="1:12" ht="15">
      <c r="A74" s="990">
        <v>68</v>
      </c>
      <c r="B74" s="1227"/>
      <c r="C74" s="1005">
        <v>3</v>
      </c>
      <c r="D74" s="1004"/>
      <c r="E74" s="1004"/>
      <c r="F74" s="1004"/>
      <c r="G74" s="1004"/>
      <c r="H74" s="1004"/>
      <c r="I74" s="1004"/>
      <c r="J74" s="1004"/>
      <c r="K74" s="1004"/>
      <c r="L74" s="1004"/>
    </row>
    <row r="75" spans="1:12" ht="15">
      <c r="A75" s="990">
        <v>69</v>
      </c>
      <c r="B75" s="1227"/>
      <c r="C75" s="1005">
        <v>4</v>
      </c>
      <c r="D75" s="1004"/>
      <c r="E75" s="1004"/>
      <c r="F75" s="1004"/>
      <c r="G75" s="1004"/>
      <c r="H75" s="1004"/>
      <c r="I75" s="1004"/>
      <c r="J75" s="1004"/>
      <c r="K75" s="1004"/>
      <c r="L75" s="1004"/>
    </row>
    <row r="76" spans="1:12" ht="15">
      <c r="A76" s="990">
        <v>70</v>
      </c>
      <c r="B76" s="1227"/>
      <c r="C76" s="1005">
        <v>5</v>
      </c>
      <c r="D76" s="1004"/>
      <c r="E76" s="1004"/>
      <c r="F76" s="1004"/>
      <c r="G76" s="1004"/>
      <c r="H76" s="1004"/>
      <c r="I76" s="1004"/>
      <c r="J76" s="1004"/>
      <c r="K76" s="1004"/>
      <c r="L76" s="1004"/>
    </row>
    <row r="77" spans="1:12" ht="15">
      <c r="A77" s="990">
        <v>71</v>
      </c>
      <c r="B77" s="1227" t="s">
        <v>2507</v>
      </c>
      <c r="C77" s="1005">
        <v>1</v>
      </c>
      <c r="D77" s="1004"/>
      <c r="E77" s="1004"/>
      <c r="F77" s="1004"/>
      <c r="G77" s="1004"/>
      <c r="H77" s="1004"/>
      <c r="I77" s="1004"/>
      <c r="J77" s="1004"/>
      <c r="K77" s="1004"/>
      <c r="L77" s="1004"/>
    </row>
    <row r="78" spans="1:12" ht="15">
      <c r="A78" s="990">
        <v>72</v>
      </c>
      <c r="B78" s="1227"/>
      <c r="C78" s="1005">
        <v>2</v>
      </c>
      <c r="D78" s="1004"/>
      <c r="E78" s="1004"/>
      <c r="F78" s="1004"/>
      <c r="G78" s="1004"/>
      <c r="H78" s="1004"/>
      <c r="I78" s="1004"/>
      <c r="J78" s="1004"/>
      <c r="K78" s="1004"/>
      <c r="L78" s="1004"/>
    </row>
    <row r="79" spans="1:12" ht="15">
      <c r="A79" s="990">
        <v>73</v>
      </c>
      <c r="B79" s="1227"/>
      <c r="C79" s="1005">
        <v>3</v>
      </c>
      <c r="D79" s="1004"/>
      <c r="E79" s="1004"/>
      <c r="F79" s="1004"/>
      <c r="G79" s="1004"/>
      <c r="H79" s="1004"/>
      <c r="I79" s="1004"/>
      <c r="J79" s="1004"/>
      <c r="K79" s="1004"/>
      <c r="L79" s="1004"/>
    </row>
    <row r="80" spans="1:12" ht="15">
      <c r="A80" s="990">
        <v>74</v>
      </c>
      <c r="B80" s="1227"/>
      <c r="C80" s="1005">
        <v>4</v>
      </c>
      <c r="D80" s="1004"/>
      <c r="E80" s="1004"/>
      <c r="F80" s="1004"/>
      <c r="G80" s="1004"/>
      <c r="H80" s="1004"/>
      <c r="I80" s="1004"/>
      <c r="J80" s="1004"/>
      <c r="K80" s="1004"/>
      <c r="L80" s="1004"/>
    </row>
    <row r="81" spans="1:12" ht="15">
      <c r="A81" s="990">
        <v>75</v>
      </c>
      <c r="B81" s="1227"/>
      <c r="C81" s="1005">
        <v>5</v>
      </c>
      <c r="D81" s="1004"/>
      <c r="E81" s="1004"/>
      <c r="F81" s="1004"/>
      <c r="G81" s="1004"/>
      <c r="H81" s="1004"/>
      <c r="I81" s="1004"/>
      <c r="J81" s="1004"/>
      <c r="K81" s="1004"/>
      <c r="L81" s="1004"/>
    </row>
    <row r="82" spans="1:12" ht="15">
      <c r="A82" s="990">
        <v>76</v>
      </c>
      <c r="B82" s="1227" t="s">
        <v>2508</v>
      </c>
      <c r="C82" s="1005">
        <v>1</v>
      </c>
      <c r="D82" s="1004"/>
      <c r="E82" s="1004"/>
      <c r="F82" s="1004"/>
      <c r="G82" s="1004"/>
      <c r="H82" s="1004"/>
      <c r="I82" s="1004"/>
      <c r="J82" s="1004"/>
      <c r="K82" s="1004"/>
      <c r="L82" s="1004"/>
    </row>
    <row r="83" spans="1:12" ht="15">
      <c r="A83" s="990">
        <v>77</v>
      </c>
      <c r="B83" s="1227"/>
      <c r="C83" s="1005">
        <v>2</v>
      </c>
      <c r="D83" s="1004"/>
      <c r="E83" s="1004"/>
      <c r="F83" s="1004"/>
      <c r="G83" s="1004"/>
      <c r="H83" s="1004"/>
      <c r="I83" s="1004"/>
      <c r="J83" s="1004"/>
      <c r="K83" s="1004"/>
      <c r="L83" s="1004"/>
    </row>
    <row r="84" spans="1:12" ht="15">
      <c r="A84" s="990">
        <v>78</v>
      </c>
      <c r="B84" s="1227"/>
      <c r="C84" s="1005">
        <v>3</v>
      </c>
      <c r="D84" s="1004"/>
      <c r="E84" s="1004"/>
      <c r="F84" s="1004"/>
      <c r="G84" s="1004"/>
      <c r="H84" s="1004"/>
      <c r="I84" s="1004"/>
      <c r="J84" s="1004"/>
      <c r="K84" s="1004"/>
      <c r="L84" s="1004"/>
    </row>
    <row r="85" spans="1:12" ht="15">
      <c r="A85" s="990">
        <v>79</v>
      </c>
      <c r="B85" s="1227"/>
      <c r="C85" s="1005">
        <v>4</v>
      </c>
      <c r="D85" s="1004"/>
      <c r="E85" s="1004"/>
      <c r="F85" s="1004"/>
      <c r="G85" s="1004"/>
      <c r="H85" s="1004"/>
      <c r="I85" s="1004"/>
      <c r="J85" s="1004"/>
      <c r="K85" s="1004"/>
      <c r="L85" s="1004"/>
    </row>
    <row r="86" spans="1:12" ht="15">
      <c r="A86" s="990">
        <v>80</v>
      </c>
      <c r="B86" s="1227"/>
      <c r="C86" s="1005">
        <v>5</v>
      </c>
      <c r="D86" s="1004"/>
      <c r="E86" s="1004"/>
      <c r="F86" s="1004"/>
      <c r="G86" s="1004"/>
      <c r="H86" s="1004"/>
      <c r="I86" s="1004"/>
      <c r="J86" s="1004"/>
      <c r="K86" s="1004"/>
      <c r="L86" s="1004"/>
    </row>
    <row r="87" spans="1:12" ht="15">
      <c r="A87" s="990">
        <v>81</v>
      </c>
      <c r="B87" s="1227" t="s">
        <v>2509</v>
      </c>
      <c r="C87" s="1005">
        <v>1</v>
      </c>
      <c r="D87" s="1004"/>
      <c r="E87" s="1004"/>
      <c r="F87" s="1004"/>
      <c r="G87" s="1004"/>
      <c r="H87" s="1004"/>
      <c r="I87" s="1004"/>
      <c r="J87" s="1004"/>
      <c r="K87" s="1004"/>
      <c r="L87" s="1004"/>
    </row>
    <row r="88" spans="1:12" ht="15">
      <c r="A88" s="990">
        <v>82</v>
      </c>
      <c r="B88" s="1227"/>
      <c r="C88" s="1005">
        <v>2</v>
      </c>
      <c r="D88" s="1004"/>
      <c r="E88" s="1004"/>
      <c r="F88" s="1004"/>
      <c r="G88" s="1004"/>
      <c r="H88" s="1004"/>
      <c r="I88" s="1004"/>
      <c r="J88" s="1004"/>
      <c r="K88" s="1004"/>
      <c r="L88" s="1004"/>
    </row>
    <row r="89" spans="1:12" ht="15">
      <c r="A89" s="990">
        <v>83</v>
      </c>
      <c r="B89" s="1227"/>
      <c r="C89" s="1005">
        <v>3</v>
      </c>
      <c r="D89" s="1004"/>
      <c r="E89" s="1004"/>
      <c r="F89" s="1004"/>
      <c r="G89" s="1004"/>
      <c r="H89" s="1004"/>
      <c r="I89" s="1004"/>
      <c r="J89" s="1004"/>
      <c r="K89" s="1004"/>
      <c r="L89" s="1004"/>
    </row>
    <row r="90" spans="1:12" ht="15">
      <c r="A90" s="990">
        <v>84</v>
      </c>
      <c r="B90" s="1227"/>
      <c r="C90" s="1005">
        <v>4</v>
      </c>
      <c r="D90" s="1004"/>
      <c r="E90" s="1004"/>
      <c r="F90" s="1004"/>
      <c r="G90" s="1004"/>
      <c r="H90" s="1004"/>
      <c r="I90" s="1004"/>
      <c r="J90" s="1004"/>
      <c r="K90" s="1004"/>
      <c r="L90" s="1004"/>
    </row>
    <row r="91" spans="1:12" ht="15">
      <c r="A91" s="990">
        <v>85</v>
      </c>
      <c r="B91" s="1227"/>
      <c r="C91" s="1005">
        <v>5</v>
      </c>
      <c r="D91" s="1004"/>
      <c r="E91" s="1004"/>
      <c r="F91" s="1004"/>
      <c r="G91" s="1004"/>
      <c r="H91" s="1004"/>
      <c r="I91" s="1004"/>
      <c r="J91" s="1004"/>
      <c r="K91" s="1004"/>
      <c r="L91" s="1004"/>
    </row>
    <row r="92" spans="1:12" ht="15">
      <c r="A92" s="990">
        <v>86</v>
      </c>
      <c r="B92" s="1227" t="s">
        <v>2510</v>
      </c>
      <c r="C92" s="1005">
        <v>1</v>
      </c>
      <c r="D92" s="1004"/>
      <c r="E92" s="1004"/>
      <c r="F92" s="1004"/>
      <c r="G92" s="1004"/>
      <c r="H92" s="1004"/>
      <c r="I92" s="1004"/>
      <c r="J92" s="1004"/>
      <c r="K92" s="1004"/>
      <c r="L92" s="1004"/>
    </row>
    <row r="93" spans="1:12" ht="15">
      <c r="A93" s="990">
        <v>87</v>
      </c>
      <c r="B93" s="1227"/>
      <c r="C93" s="1005">
        <v>2</v>
      </c>
      <c r="D93" s="1004"/>
      <c r="E93" s="1004"/>
      <c r="F93" s="1004"/>
      <c r="G93" s="1004"/>
      <c r="H93" s="1004"/>
      <c r="I93" s="1004"/>
      <c r="J93" s="1004"/>
      <c r="K93" s="1004"/>
      <c r="L93" s="1004"/>
    </row>
    <row r="94" spans="1:12" ht="15">
      <c r="A94" s="990">
        <v>88</v>
      </c>
      <c r="B94" s="1227"/>
      <c r="C94" s="1005">
        <v>3</v>
      </c>
      <c r="D94" s="1004"/>
      <c r="E94" s="1004"/>
      <c r="F94" s="1004"/>
      <c r="G94" s="1004"/>
      <c r="H94" s="1004"/>
      <c r="I94" s="1004"/>
      <c r="J94" s="1004"/>
      <c r="K94" s="1004"/>
      <c r="L94" s="1004"/>
    </row>
    <row r="95" spans="1:12" ht="15">
      <c r="A95" s="990">
        <v>89</v>
      </c>
      <c r="B95" s="1227"/>
      <c r="C95" s="1005">
        <v>4</v>
      </c>
      <c r="D95" s="1004"/>
      <c r="E95" s="1004"/>
      <c r="F95" s="1004"/>
      <c r="G95" s="1004"/>
      <c r="H95" s="1004"/>
      <c r="I95" s="1004"/>
      <c r="J95" s="1004"/>
      <c r="K95" s="1004"/>
      <c r="L95" s="1004"/>
    </row>
    <row r="96" spans="1:12" ht="15">
      <c r="A96" s="990">
        <v>90</v>
      </c>
      <c r="B96" s="1227"/>
      <c r="C96" s="1005">
        <v>5</v>
      </c>
      <c r="D96" s="1004"/>
      <c r="E96" s="1004"/>
      <c r="F96" s="1004"/>
      <c r="G96" s="1004"/>
      <c r="H96" s="1004"/>
      <c r="I96" s="1004"/>
      <c r="J96" s="1004"/>
      <c r="K96" s="1004"/>
      <c r="L96" s="1004"/>
    </row>
    <row r="97" spans="1:12" s="1008" customFormat="1" ht="15">
      <c r="A97" s="286">
        <v>91</v>
      </c>
      <c r="B97" s="1228" t="s">
        <v>2511</v>
      </c>
      <c r="C97" s="1006">
        <v>1</v>
      </c>
      <c r="D97" s="1007"/>
      <c r="E97" s="1007"/>
      <c r="F97" s="1007"/>
      <c r="G97" s="1007"/>
      <c r="H97" s="1007"/>
      <c r="I97" s="1007"/>
      <c r="J97" s="1007"/>
      <c r="K97" s="1007"/>
      <c r="L97" s="1007"/>
    </row>
    <row r="98" spans="1:12" s="1008" customFormat="1" ht="15">
      <c r="A98" s="286">
        <v>92</v>
      </c>
      <c r="B98" s="1228"/>
      <c r="C98" s="1006">
        <v>2</v>
      </c>
      <c r="D98" s="1007"/>
      <c r="E98" s="1007"/>
      <c r="F98" s="1007"/>
      <c r="G98" s="1007"/>
      <c r="H98" s="1007"/>
      <c r="I98" s="1007"/>
      <c r="J98" s="1007"/>
      <c r="K98" s="1007"/>
      <c r="L98" s="1007"/>
    </row>
    <row r="99" spans="1:12" s="1008" customFormat="1" ht="15">
      <c r="A99" s="286">
        <v>93</v>
      </c>
      <c r="B99" s="1228"/>
      <c r="C99" s="1006">
        <v>3</v>
      </c>
      <c r="D99" s="1007"/>
      <c r="E99" s="1007"/>
      <c r="F99" s="1007"/>
      <c r="G99" s="1007"/>
      <c r="H99" s="1007"/>
      <c r="I99" s="1007"/>
      <c r="J99" s="1007"/>
      <c r="K99" s="1007"/>
      <c r="L99" s="1007"/>
    </row>
    <row r="100" spans="1:12" s="1008" customFormat="1" ht="15">
      <c r="A100" s="286">
        <v>94</v>
      </c>
      <c r="B100" s="1228"/>
      <c r="C100" s="1006">
        <v>4</v>
      </c>
      <c r="D100" s="1007"/>
      <c r="E100" s="1007"/>
      <c r="F100" s="1007"/>
      <c r="G100" s="1007"/>
      <c r="H100" s="1007"/>
      <c r="I100" s="1007"/>
      <c r="J100" s="1007"/>
      <c r="K100" s="1007"/>
      <c r="L100" s="1007"/>
    </row>
    <row r="101" spans="1:12" s="1008" customFormat="1" ht="15">
      <c r="A101" s="286">
        <v>95</v>
      </c>
      <c r="B101" s="1228"/>
      <c r="C101" s="1006">
        <v>5</v>
      </c>
      <c r="D101" s="1007"/>
      <c r="E101" s="1007"/>
      <c r="F101" s="1007"/>
      <c r="G101" s="1007"/>
      <c r="H101" s="1007"/>
      <c r="I101" s="1007"/>
      <c r="J101" s="1007"/>
      <c r="K101" s="1007"/>
      <c r="L101" s="1007"/>
    </row>
    <row r="102" spans="1:12" s="1008" customFormat="1" ht="15">
      <c r="A102" s="286">
        <v>96</v>
      </c>
      <c r="B102" s="1228" t="s">
        <v>2512</v>
      </c>
      <c r="C102" s="1006">
        <v>1</v>
      </c>
      <c r="D102" s="1007"/>
      <c r="E102" s="1007"/>
      <c r="F102" s="1007"/>
      <c r="G102" s="1007"/>
      <c r="H102" s="1007"/>
      <c r="I102" s="1007"/>
      <c r="J102" s="1007"/>
      <c r="K102" s="1007"/>
      <c r="L102" s="1007"/>
    </row>
    <row r="103" spans="1:12" s="1008" customFormat="1" ht="15">
      <c r="A103" s="286">
        <v>97</v>
      </c>
      <c r="B103" s="1228"/>
      <c r="C103" s="1006">
        <v>2</v>
      </c>
      <c r="D103" s="1007"/>
      <c r="E103" s="1007"/>
      <c r="F103" s="1007"/>
      <c r="G103" s="1007"/>
      <c r="H103" s="1007"/>
      <c r="I103" s="1007"/>
      <c r="J103" s="1007"/>
      <c r="K103" s="1007"/>
      <c r="L103" s="1007"/>
    </row>
    <row r="104" spans="1:12" s="1008" customFormat="1" ht="15">
      <c r="A104" s="286">
        <v>98</v>
      </c>
      <c r="B104" s="1228"/>
      <c r="C104" s="1006">
        <v>3</v>
      </c>
      <c r="D104" s="1007"/>
      <c r="E104" s="1007"/>
      <c r="F104" s="1007"/>
      <c r="G104" s="1007"/>
      <c r="H104" s="1007"/>
      <c r="I104" s="1007"/>
      <c r="J104" s="1007"/>
      <c r="K104" s="1007"/>
      <c r="L104" s="1007"/>
    </row>
    <row r="105" spans="1:12" s="1008" customFormat="1" ht="15">
      <c r="A105" s="286">
        <v>99</v>
      </c>
      <c r="B105" s="1228"/>
      <c r="C105" s="1006">
        <v>4</v>
      </c>
      <c r="D105" s="1007"/>
      <c r="E105" s="1007"/>
      <c r="F105" s="1007"/>
      <c r="G105" s="1007"/>
      <c r="H105" s="1007"/>
      <c r="I105" s="1007"/>
      <c r="J105" s="1007"/>
      <c r="K105" s="1007"/>
      <c r="L105" s="1007"/>
    </row>
    <row r="106" spans="1:12" s="1008" customFormat="1" ht="15">
      <c r="A106" s="286">
        <v>100</v>
      </c>
      <c r="B106" s="1228"/>
      <c r="C106" s="1006">
        <v>5</v>
      </c>
      <c r="D106" s="1007"/>
      <c r="E106" s="1007"/>
      <c r="F106" s="1007"/>
      <c r="G106" s="1007"/>
      <c r="H106" s="1007"/>
      <c r="I106" s="1007"/>
      <c r="J106" s="1007"/>
      <c r="K106" s="1007"/>
      <c r="L106" s="1007"/>
    </row>
    <row r="107" spans="1:12" s="1008" customFormat="1" ht="15">
      <c r="A107" s="286">
        <v>101</v>
      </c>
      <c r="B107" s="1227" t="s">
        <v>2513</v>
      </c>
      <c r="C107" s="1006">
        <v>1</v>
      </c>
      <c r="D107" s="1007"/>
      <c r="E107" s="1007"/>
      <c r="F107" s="1007"/>
      <c r="G107" s="1007"/>
      <c r="H107" s="1007"/>
      <c r="I107" s="1007"/>
      <c r="J107" s="1007"/>
      <c r="K107" s="1007"/>
      <c r="L107" s="1007"/>
    </row>
    <row r="108" spans="1:12" ht="15">
      <c r="A108" s="990">
        <v>102</v>
      </c>
      <c r="B108" s="1227"/>
      <c r="C108" s="1005">
        <v>2</v>
      </c>
      <c r="D108" s="1004"/>
      <c r="E108" s="1004"/>
      <c r="F108" s="1004"/>
      <c r="G108" s="1004"/>
      <c r="H108" s="1004"/>
      <c r="I108" s="1004"/>
      <c r="J108" s="1004"/>
      <c r="K108" s="1004"/>
      <c r="L108" s="1004"/>
    </row>
    <row r="109" spans="1:12" ht="15">
      <c r="A109" s="990">
        <v>103</v>
      </c>
      <c r="B109" s="1227"/>
      <c r="C109" s="1005">
        <v>3</v>
      </c>
      <c r="D109" s="1004"/>
      <c r="E109" s="1004"/>
      <c r="F109" s="1004"/>
      <c r="G109" s="1004"/>
      <c r="H109" s="1004"/>
      <c r="I109" s="1004"/>
      <c r="J109" s="1004"/>
      <c r="K109" s="1004"/>
      <c r="L109" s="1004"/>
    </row>
    <row r="110" spans="1:12" ht="15">
      <c r="A110" s="990">
        <v>104</v>
      </c>
      <c r="B110" s="1227"/>
      <c r="C110" s="1005">
        <v>4</v>
      </c>
      <c r="D110" s="1004"/>
      <c r="E110" s="1004"/>
      <c r="F110" s="1004"/>
      <c r="G110" s="1004"/>
      <c r="H110" s="1004"/>
      <c r="I110" s="1004"/>
      <c r="J110" s="1004"/>
      <c r="K110" s="1004"/>
      <c r="L110" s="1004"/>
    </row>
    <row r="111" spans="1:12" ht="15">
      <c r="A111" s="990">
        <v>105</v>
      </c>
      <c r="B111" s="1227"/>
      <c r="C111" s="1005">
        <v>5</v>
      </c>
      <c r="D111" s="1004"/>
      <c r="E111" s="1004"/>
      <c r="F111" s="1004"/>
      <c r="G111" s="1004"/>
      <c r="H111" s="1004"/>
      <c r="I111" s="1004"/>
      <c r="J111" s="1004"/>
      <c r="K111" s="1004"/>
      <c r="L111" s="1004"/>
    </row>
    <row r="112" spans="1:12" ht="15">
      <c r="A112" s="990">
        <v>106</v>
      </c>
      <c r="B112" s="1227" t="s">
        <v>133</v>
      </c>
      <c r="C112" s="1005">
        <v>1</v>
      </c>
      <c r="D112" s="1004"/>
      <c r="E112" s="1004"/>
      <c r="F112" s="1004"/>
      <c r="G112" s="1004"/>
      <c r="H112" s="1004"/>
      <c r="I112" s="1004"/>
      <c r="J112" s="1004"/>
      <c r="K112" s="1004"/>
      <c r="L112" s="1004"/>
    </row>
    <row r="113" spans="1:12" ht="15">
      <c r="A113" s="990">
        <v>107</v>
      </c>
      <c r="B113" s="1227"/>
      <c r="C113" s="1005">
        <v>2</v>
      </c>
      <c r="D113" s="1004"/>
      <c r="E113" s="1004"/>
      <c r="F113" s="1004"/>
      <c r="G113" s="1004"/>
      <c r="H113" s="1004"/>
      <c r="I113" s="1004"/>
      <c r="J113" s="1004"/>
      <c r="K113" s="1004"/>
      <c r="L113" s="1004"/>
    </row>
    <row r="114" spans="1:12" ht="15">
      <c r="A114" s="990">
        <v>108</v>
      </c>
      <c r="B114" s="1227"/>
      <c r="C114" s="1005">
        <v>3</v>
      </c>
      <c r="D114" s="1009">
        <v>1</v>
      </c>
      <c r="E114" s="1004"/>
      <c r="F114" s="1004"/>
      <c r="G114" s="1004"/>
      <c r="H114" s="1004"/>
      <c r="I114" s="1004"/>
      <c r="J114" s="1004"/>
      <c r="K114" s="1004"/>
      <c r="L114" s="1004"/>
    </row>
    <row r="115" spans="1:12" ht="15">
      <c r="A115" s="990">
        <v>109</v>
      </c>
      <c r="B115" s="1227"/>
      <c r="C115" s="1005">
        <v>4</v>
      </c>
      <c r="D115" s="1004"/>
      <c r="E115" s="1004"/>
      <c r="F115" s="1004"/>
      <c r="G115" s="1004"/>
      <c r="H115" s="1004"/>
      <c r="I115" s="1004"/>
      <c r="J115" s="1004"/>
      <c r="K115" s="1004"/>
      <c r="L115" s="1004"/>
    </row>
    <row r="116" spans="1:12" ht="15">
      <c r="A116" s="990">
        <v>110</v>
      </c>
      <c r="B116" s="1227"/>
      <c r="C116" s="1005">
        <v>5</v>
      </c>
      <c r="D116" s="1004"/>
      <c r="E116" s="1004"/>
      <c r="F116" s="1004"/>
      <c r="G116" s="1004"/>
      <c r="H116" s="1004"/>
      <c r="I116" s="1004"/>
      <c r="J116" s="1004"/>
      <c r="K116" s="1004"/>
      <c r="L116" s="1004"/>
    </row>
    <row r="117" spans="1:12" ht="15">
      <c r="A117" s="990">
        <v>111</v>
      </c>
      <c r="B117" s="1227" t="s">
        <v>134</v>
      </c>
      <c r="C117" s="1005">
        <v>1</v>
      </c>
      <c r="D117" s="1004"/>
      <c r="E117" s="1004"/>
      <c r="F117" s="1004"/>
      <c r="G117" s="1004"/>
      <c r="H117" s="1004"/>
      <c r="I117" s="1004"/>
      <c r="J117" s="1004"/>
      <c r="K117" s="1004"/>
      <c r="L117" s="1004"/>
    </row>
    <row r="118" spans="1:12" ht="15">
      <c r="A118" s="990">
        <v>112</v>
      </c>
      <c r="B118" s="1227"/>
      <c r="C118" s="1005">
        <v>2</v>
      </c>
      <c r="D118" s="1004"/>
      <c r="E118" s="1004"/>
      <c r="F118" s="1004"/>
      <c r="G118" s="1004"/>
      <c r="H118" s="1004"/>
      <c r="I118" s="1004"/>
      <c r="J118" s="1004"/>
      <c r="K118" s="1004"/>
      <c r="L118" s="1004"/>
    </row>
    <row r="119" spans="1:12" ht="15">
      <c r="A119" s="990">
        <v>113</v>
      </c>
      <c r="B119" s="1227"/>
      <c r="C119" s="1005">
        <v>3</v>
      </c>
      <c r="D119" s="1009">
        <v>7</v>
      </c>
      <c r="E119" s="1004"/>
      <c r="F119" s="1004"/>
      <c r="G119" s="1004"/>
      <c r="H119" s="1004"/>
      <c r="I119" s="1004"/>
      <c r="J119" s="1004"/>
      <c r="K119" s="1004"/>
      <c r="L119" s="1004"/>
    </row>
    <row r="120" spans="1:12" ht="15">
      <c r="A120" s="990">
        <v>114</v>
      </c>
      <c r="B120" s="1227"/>
      <c r="C120" s="1005">
        <v>4</v>
      </c>
      <c r="D120" s="1004"/>
      <c r="E120" s="1004"/>
      <c r="F120" s="1004"/>
      <c r="G120" s="1004"/>
      <c r="H120" s="1004"/>
      <c r="I120" s="1004"/>
      <c r="J120" s="1004"/>
      <c r="K120" s="1004"/>
      <c r="L120" s="1004"/>
    </row>
    <row r="121" spans="1:12" ht="15">
      <c r="A121" s="990">
        <v>115</v>
      </c>
      <c r="B121" s="1227"/>
      <c r="C121" s="1005">
        <v>5</v>
      </c>
      <c r="D121" s="1004"/>
      <c r="E121" s="1004"/>
      <c r="F121" s="1004"/>
      <c r="G121" s="1004"/>
      <c r="H121" s="1004"/>
      <c r="I121" s="1004"/>
      <c r="J121" s="1004"/>
      <c r="K121" s="1004"/>
      <c r="L121" s="1004"/>
    </row>
    <row r="122" spans="1:12" ht="15">
      <c r="A122" s="990">
        <v>116</v>
      </c>
      <c r="B122" s="1227" t="s">
        <v>2514</v>
      </c>
      <c r="C122" s="1005">
        <v>1</v>
      </c>
      <c r="D122" s="1004"/>
      <c r="E122" s="1004"/>
      <c r="F122" s="1004"/>
      <c r="G122" s="1004"/>
      <c r="H122" s="1004"/>
      <c r="I122" s="1004"/>
      <c r="J122" s="1004"/>
      <c r="K122" s="1004"/>
      <c r="L122" s="1004"/>
    </row>
    <row r="123" spans="1:12" ht="15">
      <c r="A123" s="990">
        <v>117</v>
      </c>
      <c r="B123" s="1227"/>
      <c r="C123" s="1005">
        <v>2</v>
      </c>
      <c r="D123" s="1004"/>
      <c r="E123" s="1004"/>
      <c r="F123" s="1004"/>
      <c r="G123" s="1004"/>
      <c r="H123" s="1004"/>
      <c r="I123" s="1004"/>
      <c r="J123" s="1004"/>
      <c r="K123" s="1004"/>
      <c r="L123" s="1004"/>
    </row>
    <row r="124" spans="1:12" ht="15">
      <c r="A124" s="990">
        <v>118</v>
      </c>
      <c r="B124" s="1227"/>
      <c r="C124" s="1005">
        <v>3</v>
      </c>
      <c r="D124" s="1004"/>
      <c r="E124" s="1004"/>
      <c r="F124" s="1004"/>
      <c r="G124" s="1004"/>
      <c r="H124" s="1004"/>
      <c r="I124" s="1004"/>
      <c r="J124" s="1004"/>
      <c r="K124" s="1004"/>
      <c r="L124" s="1004"/>
    </row>
    <row r="125" spans="1:12" ht="15">
      <c r="A125" s="990">
        <v>119</v>
      </c>
      <c r="B125" s="1227"/>
      <c r="C125" s="1005">
        <v>4</v>
      </c>
      <c r="D125" s="1004"/>
      <c r="E125" s="1004"/>
      <c r="F125" s="1004"/>
      <c r="G125" s="1004"/>
      <c r="H125" s="1004"/>
      <c r="I125" s="1004"/>
      <c r="J125" s="1004"/>
      <c r="K125" s="1004"/>
      <c r="L125" s="1004"/>
    </row>
    <row r="126" spans="1:12" ht="15">
      <c r="A126" s="990">
        <v>120</v>
      </c>
      <c r="B126" s="1227"/>
      <c r="C126" s="1005">
        <v>5</v>
      </c>
      <c r="D126" s="1004"/>
      <c r="E126" s="1004"/>
      <c r="F126" s="1004"/>
      <c r="G126" s="1004"/>
      <c r="H126" s="1004"/>
      <c r="I126" s="1004"/>
      <c r="J126" s="1004"/>
      <c r="K126" s="1004"/>
      <c r="L126" s="1004"/>
    </row>
    <row r="127" spans="1:12" ht="15">
      <c r="A127" s="990">
        <v>121</v>
      </c>
      <c r="B127" s="1227" t="s">
        <v>135</v>
      </c>
      <c r="C127" s="1005">
        <v>1</v>
      </c>
      <c r="D127" s="1004"/>
      <c r="E127" s="1004"/>
      <c r="F127" s="1004"/>
      <c r="G127" s="1004"/>
      <c r="H127" s="1004"/>
      <c r="I127" s="1004"/>
      <c r="J127" s="1004"/>
      <c r="K127" s="1004"/>
      <c r="L127" s="1004"/>
    </row>
    <row r="128" spans="1:12" ht="15">
      <c r="A128" s="990">
        <v>122</v>
      </c>
      <c r="B128" s="1227"/>
      <c r="C128" s="1005">
        <v>2</v>
      </c>
      <c r="D128" s="1004"/>
      <c r="E128" s="1004"/>
      <c r="F128" s="1004"/>
      <c r="G128" s="1004"/>
      <c r="H128" s="1004"/>
      <c r="I128" s="1004"/>
      <c r="J128" s="1004"/>
      <c r="K128" s="1004"/>
      <c r="L128" s="1004"/>
    </row>
    <row r="129" spans="1:12" ht="15">
      <c r="A129" s="990">
        <v>123</v>
      </c>
      <c r="B129" s="1227"/>
      <c r="C129" s="1005">
        <v>3</v>
      </c>
      <c r="D129" s="1004"/>
      <c r="E129" s="1004"/>
      <c r="F129" s="1004"/>
      <c r="G129" s="1004"/>
      <c r="H129" s="1004"/>
      <c r="I129" s="1004"/>
      <c r="J129" s="1004"/>
      <c r="K129" s="1004"/>
      <c r="L129" s="1004"/>
    </row>
    <row r="130" spans="1:12" ht="15">
      <c r="A130" s="990">
        <v>124</v>
      </c>
      <c r="B130" s="1227"/>
      <c r="C130" s="1005">
        <v>4</v>
      </c>
      <c r="D130" s="1004"/>
      <c r="E130" s="1004"/>
      <c r="F130" s="1004"/>
      <c r="G130" s="1004"/>
      <c r="H130" s="1004"/>
      <c r="I130" s="1004"/>
      <c r="J130" s="1004"/>
      <c r="K130" s="1004"/>
      <c r="L130" s="1004"/>
    </row>
    <row r="131" spans="1:12" ht="15">
      <c r="A131" s="990">
        <v>125</v>
      </c>
      <c r="B131" s="1227"/>
      <c r="C131" s="1005">
        <v>5</v>
      </c>
      <c r="D131" s="1004"/>
      <c r="E131" s="1004"/>
      <c r="F131" s="1004"/>
      <c r="G131" s="1004"/>
      <c r="H131" s="1004"/>
      <c r="I131" s="1004"/>
      <c r="J131" s="1004"/>
      <c r="K131" s="1004"/>
      <c r="L131" s="1004"/>
    </row>
    <row r="132" spans="1:12" ht="15">
      <c r="A132" s="990">
        <v>126</v>
      </c>
      <c r="B132" s="1227" t="s">
        <v>136</v>
      </c>
      <c r="C132" s="1005">
        <v>1</v>
      </c>
      <c r="D132" s="1004"/>
      <c r="E132" s="1004"/>
      <c r="F132" s="1004"/>
      <c r="G132" s="1004"/>
      <c r="H132" s="1004"/>
      <c r="I132" s="1004"/>
      <c r="J132" s="1004"/>
      <c r="K132" s="1004"/>
      <c r="L132" s="1004"/>
    </row>
    <row r="133" spans="1:12" ht="15">
      <c r="A133" s="990">
        <v>127</v>
      </c>
      <c r="B133" s="1227"/>
      <c r="C133" s="1005">
        <v>2</v>
      </c>
      <c r="D133" s="1004"/>
      <c r="E133" s="1004"/>
      <c r="F133" s="1004"/>
      <c r="G133" s="1004"/>
      <c r="H133" s="1004"/>
      <c r="I133" s="1004"/>
      <c r="J133" s="1004"/>
      <c r="K133" s="1004"/>
      <c r="L133" s="1004"/>
    </row>
    <row r="134" spans="1:12" ht="15">
      <c r="A134" s="990">
        <v>128</v>
      </c>
      <c r="B134" s="1227"/>
      <c r="C134" s="1005">
        <v>3</v>
      </c>
      <c r="D134" s="1004"/>
      <c r="E134" s="1004"/>
      <c r="F134" s="1004"/>
      <c r="G134" s="1004"/>
      <c r="H134" s="1004"/>
      <c r="I134" s="1004"/>
      <c r="J134" s="1004"/>
      <c r="K134" s="1004"/>
      <c r="L134" s="1004"/>
    </row>
    <row r="135" spans="1:12" ht="15">
      <c r="A135" s="990">
        <v>129</v>
      </c>
      <c r="B135" s="1227"/>
      <c r="C135" s="1005">
        <v>4</v>
      </c>
      <c r="D135" s="1004"/>
      <c r="E135" s="1004"/>
      <c r="F135" s="1004"/>
      <c r="G135" s="1004"/>
      <c r="H135" s="1004"/>
      <c r="I135" s="1004"/>
      <c r="J135" s="1004"/>
      <c r="K135" s="1004"/>
      <c r="L135" s="1004"/>
    </row>
    <row r="136" spans="1:12" ht="15">
      <c r="A136" s="990">
        <v>130</v>
      </c>
      <c r="B136" s="1227"/>
      <c r="C136" s="1005">
        <v>5</v>
      </c>
      <c r="D136" s="1004"/>
      <c r="E136" s="1004"/>
      <c r="F136" s="1004"/>
      <c r="G136" s="1004"/>
      <c r="H136" s="1004"/>
      <c r="I136" s="1004"/>
      <c r="J136" s="1004"/>
      <c r="K136" s="1004"/>
      <c r="L136" s="1009">
        <v>12</v>
      </c>
    </row>
    <row r="137" spans="1:12" ht="15">
      <c r="A137" s="990">
        <v>131</v>
      </c>
      <c r="B137" s="1227" t="s">
        <v>137</v>
      </c>
      <c r="C137" s="1005">
        <v>1</v>
      </c>
      <c r="D137" s="1004"/>
      <c r="E137" s="1004"/>
      <c r="F137" s="1004"/>
      <c r="G137" s="1004"/>
      <c r="H137" s="1004"/>
      <c r="I137" s="1004"/>
      <c r="J137" s="1004"/>
      <c r="K137" s="1004"/>
      <c r="L137" s="1009">
        <v>11</v>
      </c>
    </row>
    <row r="138" spans="1:12" ht="15">
      <c r="A138" s="990">
        <v>132</v>
      </c>
      <c r="B138" s="1227"/>
      <c r="C138" s="1005">
        <v>2</v>
      </c>
      <c r="D138" s="1004"/>
      <c r="E138" s="1004"/>
      <c r="F138" s="1004"/>
      <c r="G138" s="1004"/>
      <c r="H138" s="1004"/>
      <c r="I138" s="1004"/>
      <c r="J138" s="1004"/>
      <c r="K138" s="1004"/>
      <c r="L138" s="1009">
        <v>2</v>
      </c>
    </row>
    <row r="139" spans="1:12" ht="15">
      <c r="A139" s="990">
        <v>133</v>
      </c>
      <c r="B139" s="1227"/>
      <c r="C139" s="1005">
        <v>3</v>
      </c>
      <c r="D139" s="1004"/>
      <c r="E139" s="1004"/>
      <c r="F139" s="1004"/>
      <c r="G139" s="1004"/>
      <c r="H139" s="1004"/>
      <c r="I139" s="1004"/>
      <c r="J139" s="1004"/>
      <c r="K139" s="1004"/>
      <c r="L139" s="1009">
        <v>20</v>
      </c>
    </row>
    <row r="140" spans="1:12" ht="15">
      <c r="A140" s="990">
        <v>134</v>
      </c>
      <c r="B140" s="1227"/>
      <c r="C140" s="1005">
        <v>4</v>
      </c>
      <c r="D140" s="1004"/>
      <c r="E140" s="1004"/>
      <c r="F140" s="1004"/>
      <c r="G140" s="1004"/>
      <c r="H140" s="1004"/>
      <c r="I140" s="1004"/>
      <c r="J140" s="1004"/>
      <c r="K140" s="1004"/>
      <c r="L140" s="1009"/>
    </row>
    <row r="141" spans="1:12" ht="15">
      <c r="A141" s="990">
        <v>135</v>
      </c>
      <c r="B141" s="1227"/>
      <c r="C141" s="1005">
        <v>5</v>
      </c>
      <c r="D141" s="1004"/>
      <c r="E141" s="1004"/>
      <c r="F141" s="1004"/>
      <c r="G141" s="1004"/>
      <c r="H141" s="1004"/>
      <c r="I141" s="1004"/>
      <c r="J141" s="1004"/>
      <c r="K141" s="1004"/>
      <c r="L141" s="1009">
        <v>22</v>
      </c>
    </row>
    <row r="142" spans="1:12" ht="15">
      <c r="A142" s="990">
        <v>136</v>
      </c>
      <c r="B142" s="1227" t="s">
        <v>138</v>
      </c>
      <c r="C142" s="1005">
        <v>1</v>
      </c>
      <c r="D142" s="1004"/>
      <c r="E142" s="1004"/>
      <c r="F142" s="1004"/>
      <c r="G142" s="1004"/>
      <c r="H142" s="1004"/>
      <c r="I142" s="1004"/>
      <c r="J142" s="1004"/>
      <c r="K142" s="1004"/>
      <c r="L142" s="1009"/>
    </row>
    <row r="143" spans="1:12" ht="15">
      <c r="A143" s="990">
        <v>137</v>
      </c>
      <c r="B143" s="1227"/>
      <c r="C143" s="1005">
        <v>2</v>
      </c>
      <c r="D143" s="1004"/>
      <c r="E143" s="1004"/>
      <c r="F143" s="1004"/>
      <c r="G143" s="1004"/>
      <c r="H143" s="1004"/>
      <c r="I143" s="1004"/>
      <c r="J143" s="1004"/>
      <c r="K143" s="1004"/>
      <c r="L143" s="1009"/>
    </row>
    <row r="144" spans="1:12" ht="15">
      <c r="A144" s="990">
        <v>138</v>
      </c>
      <c r="B144" s="1227"/>
      <c r="C144" s="1005">
        <v>3</v>
      </c>
      <c r="D144" s="1004"/>
      <c r="E144" s="1004"/>
      <c r="F144" s="1004"/>
      <c r="G144" s="1004"/>
      <c r="H144" s="1004"/>
      <c r="I144" s="1004"/>
      <c r="J144" s="1004"/>
      <c r="K144" s="1004"/>
      <c r="L144" s="1009"/>
    </row>
    <row r="145" spans="1:12" ht="15">
      <c r="A145" s="990">
        <v>139</v>
      </c>
      <c r="B145" s="1227"/>
      <c r="C145" s="1005">
        <v>4</v>
      </c>
      <c r="D145" s="1004"/>
      <c r="E145" s="1004"/>
      <c r="F145" s="1004"/>
      <c r="G145" s="1004"/>
      <c r="H145" s="1004"/>
      <c r="I145" s="1004"/>
      <c r="J145" s="1004"/>
      <c r="K145" s="1004"/>
      <c r="L145" s="1009"/>
    </row>
    <row r="146" spans="1:12" ht="15">
      <c r="A146" s="990">
        <v>140</v>
      </c>
      <c r="B146" s="1227"/>
      <c r="C146" s="1005">
        <v>5</v>
      </c>
      <c r="D146" s="1004"/>
      <c r="E146" s="1004"/>
      <c r="F146" s="1004"/>
      <c r="G146" s="1004"/>
      <c r="H146" s="1004"/>
      <c r="I146" s="1004"/>
      <c r="J146" s="1004"/>
      <c r="K146" s="1004"/>
      <c r="L146" s="1009"/>
    </row>
    <row r="147" spans="1:12" ht="15">
      <c r="A147" s="990">
        <v>141</v>
      </c>
      <c r="B147" s="1227" t="s">
        <v>139</v>
      </c>
      <c r="C147" s="1005">
        <v>1</v>
      </c>
      <c r="D147" s="1004"/>
      <c r="E147" s="1004"/>
      <c r="F147" s="1004"/>
      <c r="G147" s="1004"/>
      <c r="H147" s="1004"/>
      <c r="I147" s="1004"/>
      <c r="J147" s="1004"/>
      <c r="K147" s="1004"/>
      <c r="L147" s="1009"/>
    </row>
    <row r="148" spans="1:12" ht="15">
      <c r="A148" s="990">
        <v>142</v>
      </c>
      <c r="B148" s="1227"/>
      <c r="C148" s="1005">
        <v>2</v>
      </c>
      <c r="D148" s="1004"/>
      <c r="E148" s="1004"/>
      <c r="F148" s="1004"/>
      <c r="G148" s="1004"/>
      <c r="H148" s="1004"/>
      <c r="I148" s="1004"/>
      <c r="J148" s="1004"/>
      <c r="K148" s="1004"/>
      <c r="L148" s="1009"/>
    </row>
    <row r="149" spans="1:12" ht="15">
      <c r="A149" s="990">
        <v>143</v>
      </c>
      <c r="B149" s="1227"/>
      <c r="C149" s="1005">
        <v>3</v>
      </c>
      <c r="D149" s="1004"/>
      <c r="E149" s="1004"/>
      <c r="F149" s="1004"/>
      <c r="G149" s="1004"/>
      <c r="H149" s="1004"/>
      <c r="I149" s="1004"/>
      <c r="J149" s="1004"/>
      <c r="K149" s="1004"/>
      <c r="L149" s="1009"/>
    </row>
    <row r="150" spans="1:12" ht="15">
      <c r="A150" s="990">
        <v>144</v>
      </c>
      <c r="B150" s="1227"/>
      <c r="C150" s="1005">
        <v>4</v>
      </c>
      <c r="D150" s="1004"/>
      <c r="E150" s="1004"/>
      <c r="F150" s="1004"/>
      <c r="G150" s="1004"/>
      <c r="H150" s="1004"/>
      <c r="I150" s="1004"/>
      <c r="J150" s="1004"/>
      <c r="K150" s="1004"/>
      <c r="L150" s="1009"/>
    </row>
    <row r="151" spans="1:12" ht="15">
      <c r="A151" s="990">
        <v>145</v>
      </c>
      <c r="B151" s="1227"/>
      <c r="C151" s="1005">
        <v>5</v>
      </c>
      <c r="D151" s="1004"/>
      <c r="E151" s="1004"/>
      <c r="F151" s="1004"/>
      <c r="G151" s="1004"/>
      <c r="H151" s="1004"/>
      <c r="I151" s="1004"/>
      <c r="J151" s="1004"/>
      <c r="K151" s="1004"/>
      <c r="L151" s="1009">
        <v>1</v>
      </c>
    </row>
    <row r="152" spans="1:12" ht="15">
      <c r="A152" s="990">
        <v>146</v>
      </c>
      <c r="B152" s="1227" t="s">
        <v>140</v>
      </c>
      <c r="C152" s="1005">
        <v>1</v>
      </c>
      <c r="D152" s="1004"/>
      <c r="E152" s="1004"/>
      <c r="F152" s="1004"/>
      <c r="G152" s="1004"/>
      <c r="H152" s="1004"/>
      <c r="I152" s="1004"/>
      <c r="J152" s="1004"/>
      <c r="K152" s="1004"/>
      <c r="L152" s="1009"/>
    </row>
    <row r="153" spans="1:12" ht="15">
      <c r="A153" s="990">
        <v>147</v>
      </c>
      <c r="B153" s="1227"/>
      <c r="C153" s="1005">
        <v>2</v>
      </c>
      <c r="D153" s="1004"/>
      <c r="E153" s="1004"/>
      <c r="F153" s="1004"/>
      <c r="G153" s="1004"/>
      <c r="H153" s="1004"/>
      <c r="I153" s="1004"/>
      <c r="J153" s="1004"/>
      <c r="K153" s="1004"/>
      <c r="L153" s="1009"/>
    </row>
    <row r="154" spans="1:12" ht="15">
      <c r="A154" s="990">
        <v>148</v>
      </c>
      <c r="B154" s="1227"/>
      <c r="C154" s="1005">
        <v>3</v>
      </c>
      <c r="D154" s="1004"/>
      <c r="E154" s="1004"/>
      <c r="F154" s="1004"/>
      <c r="G154" s="1004"/>
      <c r="H154" s="1004"/>
      <c r="I154" s="1004"/>
      <c r="J154" s="1004"/>
      <c r="K154" s="1004"/>
      <c r="L154" s="1009"/>
    </row>
    <row r="155" spans="1:12" ht="15">
      <c r="A155" s="990">
        <v>149</v>
      </c>
      <c r="B155" s="1227"/>
      <c r="C155" s="1005">
        <v>4</v>
      </c>
      <c r="D155" s="1004"/>
      <c r="E155" s="1004"/>
      <c r="F155" s="1004"/>
      <c r="G155" s="1004"/>
      <c r="H155" s="1004"/>
      <c r="I155" s="1004"/>
      <c r="J155" s="1004"/>
      <c r="K155" s="1004"/>
      <c r="L155" s="1009"/>
    </row>
    <row r="156" spans="1:12" ht="15">
      <c r="A156" s="990">
        <v>150</v>
      </c>
      <c r="B156" s="1227"/>
      <c r="C156" s="1005">
        <v>5</v>
      </c>
      <c r="D156" s="1004"/>
      <c r="E156" s="1004"/>
      <c r="F156" s="1004"/>
      <c r="G156" s="1004"/>
      <c r="H156" s="1004"/>
      <c r="I156" s="1004"/>
      <c r="J156" s="1004"/>
      <c r="K156" s="1004"/>
      <c r="L156" s="1009">
        <v>1</v>
      </c>
    </row>
    <row r="157" spans="1:12" ht="15">
      <c r="A157" s="990">
        <v>151</v>
      </c>
      <c r="B157" s="1227" t="s">
        <v>141</v>
      </c>
      <c r="C157" s="1005">
        <v>1</v>
      </c>
      <c r="D157" s="1004"/>
      <c r="E157" s="1004"/>
      <c r="F157" s="1004"/>
      <c r="G157" s="1004"/>
      <c r="H157" s="1004"/>
      <c r="I157" s="1004"/>
      <c r="J157" s="1004"/>
      <c r="K157" s="1004"/>
      <c r="L157" s="1009"/>
    </row>
    <row r="158" spans="1:12" ht="15">
      <c r="A158" s="990">
        <v>152</v>
      </c>
      <c r="B158" s="1227"/>
      <c r="C158" s="1005">
        <v>2</v>
      </c>
      <c r="D158" s="1004"/>
      <c r="E158" s="1004"/>
      <c r="F158" s="1004"/>
      <c r="G158" s="1004"/>
      <c r="H158" s="1004"/>
      <c r="I158" s="1004"/>
      <c r="J158" s="1004"/>
      <c r="K158" s="1004"/>
      <c r="L158" s="1009"/>
    </row>
    <row r="159" spans="1:12" ht="15">
      <c r="A159" s="990">
        <v>153</v>
      </c>
      <c r="B159" s="1227"/>
      <c r="C159" s="1005">
        <v>3</v>
      </c>
      <c r="D159" s="1004"/>
      <c r="E159" s="1004"/>
      <c r="F159" s="1004"/>
      <c r="G159" s="1004"/>
      <c r="H159" s="1004"/>
      <c r="I159" s="1004"/>
      <c r="J159" s="1004"/>
      <c r="K159" s="1004"/>
      <c r="L159" s="1009"/>
    </row>
    <row r="160" spans="1:12" ht="15">
      <c r="A160" s="990">
        <v>154</v>
      </c>
      <c r="B160" s="1227"/>
      <c r="C160" s="1005">
        <v>4</v>
      </c>
      <c r="D160" s="1004"/>
      <c r="E160" s="1004"/>
      <c r="F160" s="1004"/>
      <c r="G160" s="1004"/>
      <c r="H160" s="1004"/>
      <c r="I160" s="1004"/>
      <c r="J160" s="1004"/>
      <c r="K160" s="1004"/>
      <c r="L160" s="1009"/>
    </row>
    <row r="161" spans="1:12" ht="15">
      <c r="A161" s="990">
        <v>155</v>
      </c>
      <c r="B161" s="1227"/>
      <c r="C161" s="1005">
        <v>5</v>
      </c>
      <c r="D161" s="1004"/>
      <c r="E161" s="1004"/>
      <c r="F161" s="1004"/>
      <c r="G161" s="1004"/>
      <c r="H161" s="1004"/>
      <c r="I161" s="1004"/>
      <c r="J161" s="1004"/>
      <c r="K161" s="1004"/>
      <c r="L161" s="1009">
        <v>3</v>
      </c>
    </row>
    <row r="162" spans="1:12" ht="15">
      <c r="A162" s="990">
        <v>156</v>
      </c>
      <c r="B162" s="1227" t="s">
        <v>142</v>
      </c>
      <c r="C162" s="1005">
        <v>1</v>
      </c>
      <c r="D162" s="1004"/>
      <c r="E162" s="1004"/>
      <c r="F162" s="1004"/>
      <c r="G162" s="1004"/>
      <c r="H162" s="1004"/>
      <c r="I162" s="1004"/>
      <c r="J162" s="1004"/>
      <c r="K162" s="1004"/>
      <c r="L162" s="1009"/>
    </row>
    <row r="163" spans="1:12" ht="15">
      <c r="A163" s="990">
        <v>157</v>
      </c>
      <c r="B163" s="1227"/>
      <c r="C163" s="1005">
        <v>2</v>
      </c>
      <c r="D163" s="1004"/>
      <c r="E163" s="1004"/>
      <c r="F163" s="1004"/>
      <c r="G163" s="1004"/>
      <c r="H163" s="1004"/>
      <c r="I163" s="1004"/>
      <c r="J163" s="1004"/>
      <c r="K163" s="1004"/>
      <c r="L163" s="1009"/>
    </row>
    <row r="164" spans="1:12" ht="15">
      <c r="A164" s="990">
        <v>158</v>
      </c>
      <c r="B164" s="1227"/>
      <c r="C164" s="1005">
        <v>3</v>
      </c>
      <c r="D164" s="1004"/>
      <c r="E164" s="1004"/>
      <c r="F164" s="1004"/>
      <c r="G164" s="1004"/>
      <c r="H164" s="1004"/>
      <c r="I164" s="1004"/>
      <c r="J164" s="1004"/>
      <c r="K164" s="1004"/>
      <c r="L164" s="1009"/>
    </row>
    <row r="165" spans="1:12" ht="15">
      <c r="A165" s="990">
        <v>159</v>
      </c>
      <c r="B165" s="1227"/>
      <c r="C165" s="1005">
        <v>4</v>
      </c>
      <c r="D165" s="1004"/>
      <c r="E165" s="1004"/>
      <c r="F165" s="1004"/>
      <c r="G165" s="1004"/>
      <c r="H165" s="1004"/>
      <c r="I165" s="1004"/>
      <c r="J165" s="1004"/>
      <c r="K165" s="1004"/>
      <c r="L165" s="1009"/>
    </row>
    <row r="166" spans="1:12" ht="15">
      <c r="A166" s="990">
        <v>160</v>
      </c>
      <c r="B166" s="1227"/>
      <c r="C166" s="1005">
        <v>5</v>
      </c>
      <c r="D166" s="1004"/>
      <c r="E166" s="1004"/>
      <c r="F166" s="1004"/>
      <c r="G166" s="1004"/>
      <c r="H166" s="1004"/>
      <c r="I166" s="1004"/>
      <c r="J166" s="1004"/>
      <c r="K166" s="1004"/>
      <c r="L166" s="1009">
        <v>2</v>
      </c>
    </row>
    <row r="167" spans="1:12" ht="15">
      <c r="A167" s="990">
        <v>161</v>
      </c>
      <c r="B167" s="1227" t="s">
        <v>143</v>
      </c>
      <c r="C167" s="1005">
        <v>1</v>
      </c>
      <c r="D167" s="1004"/>
      <c r="E167" s="1004"/>
      <c r="F167" s="1004"/>
      <c r="G167" s="1004"/>
      <c r="H167" s="1004"/>
      <c r="I167" s="1004"/>
      <c r="J167" s="1004"/>
      <c r="K167" s="1004"/>
      <c r="L167" s="1009"/>
    </row>
    <row r="168" spans="1:12" ht="15">
      <c r="A168" s="990">
        <v>162</v>
      </c>
      <c r="B168" s="1227"/>
      <c r="C168" s="1005">
        <v>2</v>
      </c>
      <c r="D168" s="1004"/>
      <c r="E168" s="1004"/>
      <c r="F168" s="1004"/>
      <c r="G168" s="1004"/>
      <c r="H168" s="1004"/>
      <c r="I168" s="1004"/>
      <c r="J168" s="1004"/>
      <c r="K168" s="1004"/>
      <c r="L168" s="1009"/>
    </row>
    <row r="169" spans="1:12" ht="15">
      <c r="A169" s="990">
        <v>163</v>
      </c>
      <c r="B169" s="1227"/>
      <c r="C169" s="1005">
        <v>3</v>
      </c>
      <c r="D169" s="1004"/>
      <c r="E169" s="1004"/>
      <c r="F169" s="1004"/>
      <c r="G169" s="1004"/>
      <c r="H169" s="1004"/>
      <c r="I169" s="1004"/>
      <c r="J169" s="1004"/>
      <c r="K169" s="1004"/>
      <c r="L169" s="1009"/>
    </row>
    <row r="170" spans="1:12" ht="15">
      <c r="A170" s="990">
        <v>164</v>
      </c>
      <c r="B170" s="1227"/>
      <c r="C170" s="1005">
        <v>4</v>
      </c>
      <c r="D170" s="1004"/>
      <c r="E170" s="1004"/>
      <c r="F170" s="1004"/>
      <c r="G170" s="1004"/>
      <c r="H170" s="1004"/>
      <c r="I170" s="1004"/>
      <c r="J170" s="1004"/>
      <c r="K170" s="1004"/>
      <c r="L170" s="1009"/>
    </row>
    <row r="171" spans="1:12" ht="15">
      <c r="A171" s="990">
        <v>165</v>
      </c>
      <c r="B171" s="1227"/>
      <c r="C171" s="1005">
        <v>5</v>
      </c>
      <c r="D171" s="1004"/>
      <c r="E171" s="1004"/>
      <c r="F171" s="1004"/>
      <c r="G171" s="1004"/>
      <c r="H171" s="1004"/>
      <c r="I171" s="1004"/>
      <c r="J171" s="1004"/>
      <c r="K171" s="1004"/>
      <c r="L171" s="1009">
        <v>2</v>
      </c>
    </row>
    <row r="172" spans="1:12" ht="15">
      <c r="A172" s="990">
        <v>166</v>
      </c>
      <c r="B172" s="1010" t="s">
        <v>2515</v>
      </c>
      <c r="C172" s="1011"/>
      <c r="D172" s="1004"/>
      <c r="E172" s="1004"/>
      <c r="F172" s="1004"/>
      <c r="G172" s="1004"/>
      <c r="H172" s="1004"/>
      <c r="I172" s="1004"/>
      <c r="J172" s="1004"/>
      <c r="K172" s="1004"/>
      <c r="L172" s="1009"/>
    </row>
    <row r="173" spans="1:12">
      <c r="A173" s="1009"/>
      <c r="B173" s="1004"/>
      <c r="C173" s="1009"/>
      <c r="D173" s="1004">
        <f>SUM(D7:D172)</f>
        <v>8</v>
      </c>
      <c r="E173" s="1004">
        <f t="shared" ref="E173:K173" si="0">SUM(E7:E172)</f>
        <v>0</v>
      </c>
      <c r="F173" s="1004">
        <f t="shared" si="0"/>
        <v>0</v>
      </c>
      <c r="G173" s="1004">
        <f t="shared" si="0"/>
        <v>0</v>
      </c>
      <c r="H173" s="1004">
        <f t="shared" si="0"/>
        <v>0</v>
      </c>
      <c r="I173" s="1004"/>
      <c r="J173" s="1004"/>
      <c r="K173" s="1004">
        <f t="shared" si="0"/>
        <v>0</v>
      </c>
      <c r="L173" s="1009">
        <f>SUM(L7:L172)</f>
        <v>76</v>
      </c>
    </row>
  </sheetData>
  <mergeCells count="39">
    <mergeCell ref="A3:L3"/>
    <mergeCell ref="A4:K4"/>
    <mergeCell ref="A5:A6"/>
    <mergeCell ref="B5:B6"/>
    <mergeCell ref="C5:C6"/>
    <mergeCell ref="D5:L5"/>
    <mergeCell ref="B62:B66"/>
    <mergeCell ref="B7:B11"/>
    <mergeCell ref="B12:B16"/>
    <mergeCell ref="B17:B21"/>
    <mergeCell ref="B22:B26"/>
    <mergeCell ref="B27:B31"/>
    <mergeCell ref="B32:B36"/>
    <mergeCell ref="B37:B41"/>
    <mergeCell ref="B42:B46"/>
    <mergeCell ref="B47:B51"/>
    <mergeCell ref="B52:B56"/>
    <mergeCell ref="B57:B61"/>
    <mergeCell ref="B122:B126"/>
    <mergeCell ref="B67:B71"/>
    <mergeCell ref="B72:B76"/>
    <mergeCell ref="B77:B81"/>
    <mergeCell ref="B82:B86"/>
    <mergeCell ref="B87:B91"/>
    <mergeCell ref="B92:B96"/>
    <mergeCell ref="B97:B101"/>
    <mergeCell ref="B102:B106"/>
    <mergeCell ref="B107:B111"/>
    <mergeCell ref="B112:B116"/>
    <mergeCell ref="B117:B121"/>
    <mergeCell ref="B157:B161"/>
    <mergeCell ref="B162:B166"/>
    <mergeCell ref="B167:B171"/>
    <mergeCell ref="B127:B131"/>
    <mergeCell ref="B132:B136"/>
    <mergeCell ref="B137:B141"/>
    <mergeCell ref="B142:B146"/>
    <mergeCell ref="B147:B151"/>
    <mergeCell ref="B152:B156"/>
  </mergeCells>
  <pageMargins left="0.2" right="0.2" top="0.25" bottom="0.2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D4" sqref="D4"/>
    </sheetView>
  </sheetViews>
  <sheetFormatPr defaultRowHeight="14.25"/>
  <cols>
    <col min="1" max="1" width="27.7109375" bestFit="1" customWidth="1"/>
    <col min="2" max="2" width="14.5703125" customWidth="1"/>
    <col min="3" max="3" width="13.140625" customWidth="1"/>
    <col min="4" max="4" width="13.7109375" customWidth="1"/>
    <col min="5" max="5" width="16.28515625" bestFit="1" customWidth="1"/>
  </cols>
  <sheetData>
    <row r="1" spans="1:5" ht="39.75" customHeight="1">
      <c r="A1" s="1409" t="s">
        <v>773</v>
      </c>
      <c r="B1" s="1410"/>
      <c r="C1" s="1410"/>
      <c r="D1" s="1410"/>
      <c r="E1" s="1411"/>
    </row>
    <row r="2" spans="1:5" ht="28.5">
      <c r="A2" s="95" t="s">
        <v>398</v>
      </c>
      <c r="B2" s="95" t="s">
        <v>774</v>
      </c>
      <c r="C2" s="95" t="s">
        <v>775</v>
      </c>
      <c r="D2" s="95" t="s">
        <v>399</v>
      </c>
      <c r="E2" s="204" t="s">
        <v>400</v>
      </c>
    </row>
    <row r="3" spans="1:5" ht="15">
      <c r="A3" s="22" t="s">
        <v>401</v>
      </c>
      <c r="B3" s="22">
        <v>770000</v>
      </c>
      <c r="C3" s="22">
        <v>4</v>
      </c>
      <c r="D3" s="23">
        <f>+B3*C3</f>
        <v>3080000</v>
      </c>
      <c r="E3" s="23">
        <f>12*D3</f>
        <v>36960000</v>
      </c>
    </row>
    <row r="4" spans="1:5" ht="15">
      <c r="A4" s="22" t="s">
        <v>402</v>
      </c>
      <c r="B4" s="22">
        <v>770000</v>
      </c>
      <c r="C4" s="22">
        <v>4</v>
      </c>
      <c r="D4" s="23">
        <f>+B4*C4</f>
        <v>3080000</v>
      </c>
      <c r="E4" s="23">
        <f>12*D4</f>
        <v>36960000</v>
      </c>
    </row>
    <row r="5" spans="1:5" ht="15">
      <c r="A5" s="22" t="s">
        <v>156</v>
      </c>
      <c r="B5" s="22">
        <v>1540000</v>
      </c>
      <c r="C5" s="22">
        <v>8</v>
      </c>
      <c r="D5" s="23">
        <v>3700</v>
      </c>
      <c r="E5" s="24">
        <f>+E4+E3</f>
        <v>73920000</v>
      </c>
    </row>
  </sheetData>
  <mergeCells count="1">
    <mergeCell ref="A1:E1"/>
  </mergeCell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topLeftCell="A106" zoomScale="85" zoomScaleNormal="85" workbookViewId="0">
      <selection activeCell="C87" sqref="C87"/>
    </sheetView>
  </sheetViews>
  <sheetFormatPr defaultRowHeight="14.25"/>
  <cols>
    <col min="1" max="1" width="5.85546875" customWidth="1"/>
    <col min="2" max="2" width="27.140625" customWidth="1"/>
    <col min="3" max="3" width="12.85546875" customWidth="1"/>
    <col min="4" max="4" width="12.7109375" customWidth="1"/>
    <col min="5" max="5" width="13.5703125" customWidth="1"/>
    <col min="6" max="6" width="12.85546875" customWidth="1"/>
    <col min="7" max="7" width="14.28515625" customWidth="1"/>
    <col min="8" max="8" width="13.85546875" customWidth="1"/>
  </cols>
  <sheetData>
    <row r="1" spans="1:7" ht="36" customHeight="1">
      <c r="A1" s="1412" t="s">
        <v>522</v>
      </c>
      <c r="B1" s="1412"/>
      <c r="C1" s="1412"/>
      <c r="D1" s="1412"/>
      <c r="E1" s="1412"/>
      <c r="F1" s="1412"/>
      <c r="G1" s="1412"/>
    </row>
    <row r="2" spans="1:7" ht="24">
      <c r="A2" s="86">
        <v>1</v>
      </c>
      <c r="B2" s="87" t="s">
        <v>424</v>
      </c>
      <c r="C2" s="87"/>
      <c r="D2" s="88" t="s">
        <v>437</v>
      </c>
      <c r="E2" s="88" t="s">
        <v>438</v>
      </c>
      <c r="F2" s="88"/>
      <c r="G2" s="89">
        <v>12000000</v>
      </c>
    </row>
    <row r="3" spans="1:7" ht="24">
      <c r="A3" s="88">
        <v>2</v>
      </c>
      <c r="B3" s="87" t="s">
        <v>425</v>
      </c>
      <c r="C3" s="87"/>
      <c r="D3" s="88" t="s">
        <v>426</v>
      </c>
      <c r="E3" s="88" t="s">
        <v>439</v>
      </c>
      <c r="F3" s="88"/>
      <c r="G3" s="89">
        <v>9000000</v>
      </c>
    </row>
    <row r="5" spans="1:7" ht="24.75" customHeight="1">
      <c r="A5" s="1424" t="s">
        <v>1190</v>
      </c>
      <c r="B5" s="1424"/>
      <c r="C5" s="1424"/>
      <c r="D5" s="1424"/>
      <c r="E5" s="1424"/>
      <c r="F5" s="1424"/>
    </row>
    <row r="6" spans="1:7">
      <c r="A6" s="80" t="s">
        <v>1</v>
      </c>
      <c r="B6" s="80" t="s">
        <v>398</v>
      </c>
      <c r="C6" s="80" t="s">
        <v>403</v>
      </c>
      <c r="D6" s="80" t="s">
        <v>327</v>
      </c>
      <c r="E6" s="80" t="s">
        <v>404</v>
      </c>
      <c r="F6" s="80" t="s">
        <v>284</v>
      </c>
    </row>
    <row r="7" spans="1:7">
      <c r="A7" s="81">
        <v>1</v>
      </c>
      <c r="B7" s="81" t="s">
        <v>507</v>
      </c>
      <c r="C7" s="81" t="s">
        <v>317</v>
      </c>
      <c r="D7" s="81">
        <v>120</v>
      </c>
      <c r="E7" s="81">
        <v>5000</v>
      </c>
      <c r="F7" s="82">
        <f>120*5</f>
        <v>600</v>
      </c>
    </row>
    <row r="8" spans="1:7" ht="48">
      <c r="A8" s="81">
        <v>2</v>
      </c>
      <c r="B8" s="83" t="s">
        <v>508</v>
      </c>
      <c r="C8" s="81" t="s">
        <v>317</v>
      </c>
      <c r="D8" s="81">
        <v>600</v>
      </c>
      <c r="E8" s="83" t="s">
        <v>509</v>
      </c>
      <c r="F8" s="82">
        <v>14100</v>
      </c>
    </row>
    <row r="9" spans="1:7" ht="36">
      <c r="A9" s="81">
        <v>3</v>
      </c>
      <c r="B9" s="83" t="s">
        <v>510</v>
      </c>
      <c r="C9" s="81" t="s">
        <v>317</v>
      </c>
      <c r="D9" s="81">
        <v>500</v>
      </c>
      <c r="E9" s="81">
        <v>2500</v>
      </c>
      <c r="F9" s="82">
        <v>1250</v>
      </c>
    </row>
    <row r="10" spans="1:7" ht="36">
      <c r="A10" s="81">
        <v>4</v>
      </c>
      <c r="B10" s="83" t="s">
        <v>511</v>
      </c>
      <c r="C10" s="81" t="s">
        <v>317</v>
      </c>
      <c r="D10" s="81">
        <v>25</v>
      </c>
      <c r="E10" s="81">
        <v>5000</v>
      </c>
      <c r="F10" s="82">
        <v>125</v>
      </c>
    </row>
    <row r="11" spans="1:7" ht="60">
      <c r="A11" s="81">
        <v>5</v>
      </c>
      <c r="B11" s="83" t="s">
        <v>512</v>
      </c>
      <c r="C11" s="81" t="s">
        <v>513</v>
      </c>
      <c r="D11" s="83" t="s">
        <v>514</v>
      </c>
      <c r="E11" s="81"/>
      <c r="F11" s="82">
        <v>4500</v>
      </c>
    </row>
    <row r="12" spans="1:7" ht="48">
      <c r="A12" s="81">
        <v>6</v>
      </c>
      <c r="B12" s="83" t="s">
        <v>515</v>
      </c>
      <c r="C12" s="81" t="s">
        <v>516</v>
      </c>
      <c r="D12" s="83" t="s">
        <v>517</v>
      </c>
      <c r="E12" s="83" t="s">
        <v>518</v>
      </c>
      <c r="F12" s="82">
        <v>5400</v>
      </c>
    </row>
    <row r="13" spans="1:7" ht="84">
      <c r="A13" s="81">
        <v>8</v>
      </c>
      <c r="B13" s="83" t="s">
        <v>520</v>
      </c>
      <c r="C13" s="81"/>
      <c r="D13" s="81">
        <v>2000</v>
      </c>
      <c r="E13" s="81">
        <v>7500</v>
      </c>
      <c r="F13" s="82">
        <f>7.5*2000</f>
        <v>15000</v>
      </c>
    </row>
    <row r="14" spans="1:7" ht="24">
      <c r="A14" s="81">
        <v>9</v>
      </c>
      <c r="B14" s="83" t="s">
        <v>521</v>
      </c>
      <c r="C14" s="81" t="s">
        <v>317</v>
      </c>
      <c r="D14" s="81">
        <v>100</v>
      </c>
      <c r="E14" s="81">
        <v>12000</v>
      </c>
      <c r="F14" s="82">
        <f>12*100</f>
        <v>1200</v>
      </c>
    </row>
    <row r="15" spans="1:7">
      <c r="A15" s="1425" t="s">
        <v>410</v>
      </c>
      <c r="B15" s="1426"/>
      <c r="C15" s="84"/>
      <c r="D15" s="84"/>
      <c r="E15" s="84"/>
      <c r="F15" s="85">
        <f>SUM(F7:F13)</f>
        <v>40975</v>
      </c>
    </row>
    <row r="18" spans="1:6">
      <c r="A18" s="1413" t="s">
        <v>1191</v>
      </c>
      <c r="B18" s="1413"/>
      <c r="C18" s="1413"/>
      <c r="D18" s="1413"/>
      <c r="E18" s="1413"/>
      <c r="F18" s="1413"/>
    </row>
    <row r="19" spans="1:6">
      <c r="A19" s="98" t="s">
        <v>1</v>
      </c>
      <c r="B19" s="98" t="s">
        <v>398</v>
      </c>
      <c r="C19" s="98" t="s">
        <v>403</v>
      </c>
      <c r="D19" s="98" t="s">
        <v>327</v>
      </c>
      <c r="E19" s="98" t="s">
        <v>404</v>
      </c>
      <c r="F19" s="98" t="s">
        <v>284</v>
      </c>
    </row>
    <row r="20" spans="1:6">
      <c r="A20" s="33">
        <v>3</v>
      </c>
      <c r="B20" s="33" t="s">
        <v>406</v>
      </c>
      <c r="C20" s="33" t="s">
        <v>407</v>
      </c>
      <c r="D20" s="33">
        <v>3</v>
      </c>
      <c r="E20" s="97">
        <v>95000</v>
      </c>
      <c r="F20" s="97">
        <v>285000</v>
      </c>
    </row>
    <row r="21" spans="1:6" ht="54">
      <c r="A21" s="33">
        <v>4</v>
      </c>
      <c r="B21" s="53" t="s">
        <v>408</v>
      </c>
      <c r="C21" s="33" t="s">
        <v>405</v>
      </c>
      <c r="D21" s="33">
        <v>1</v>
      </c>
      <c r="E21" s="97">
        <v>1000000</v>
      </c>
      <c r="F21" s="97">
        <v>1000000</v>
      </c>
    </row>
    <row r="22" spans="1:6" ht="67.5">
      <c r="A22" s="33">
        <v>6</v>
      </c>
      <c r="B22" s="53" t="s">
        <v>409</v>
      </c>
      <c r="C22" s="33" t="s">
        <v>407</v>
      </c>
      <c r="D22" s="33">
        <v>200</v>
      </c>
      <c r="E22" s="33">
        <v>5000</v>
      </c>
      <c r="F22" s="97">
        <v>1000000</v>
      </c>
    </row>
    <row r="23" spans="1:6">
      <c r="A23" s="33"/>
      <c r="B23" s="33"/>
      <c r="C23" s="33"/>
      <c r="D23" s="33"/>
      <c r="E23" s="33"/>
      <c r="F23" s="33"/>
    </row>
    <row r="24" spans="1:6">
      <c r="A24" s="1414" t="s">
        <v>410</v>
      </c>
      <c r="B24" s="1415"/>
      <c r="C24" s="99"/>
      <c r="D24" s="99"/>
      <c r="E24" s="99"/>
      <c r="F24" s="100">
        <v>12085000</v>
      </c>
    </row>
    <row r="27" spans="1:6">
      <c r="A27" s="1416" t="s">
        <v>557</v>
      </c>
      <c r="B27" s="1416"/>
      <c r="C27" s="1416"/>
      <c r="D27" s="1416"/>
      <c r="E27" s="1416"/>
      <c r="F27" s="1416"/>
    </row>
    <row r="28" spans="1:6">
      <c r="A28" s="1423" t="s">
        <v>558</v>
      </c>
      <c r="B28" s="1423"/>
      <c r="C28" s="1423"/>
      <c r="D28" s="1423"/>
      <c r="E28" s="1423"/>
      <c r="F28" s="1423"/>
    </row>
    <row r="29" spans="1:6">
      <c r="A29" s="132"/>
      <c r="B29" s="132"/>
      <c r="C29" s="101"/>
      <c r="D29" s="101"/>
      <c r="E29" s="133"/>
      <c r="F29" s="133"/>
    </row>
    <row r="30" spans="1:6" ht="27">
      <c r="A30" s="134" t="s">
        <v>1</v>
      </c>
      <c r="B30" s="121" t="s">
        <v>559</v>
      </c>
      <c r="C30" s="121" t="s">
        <v>560</v>
      </c>
      <c r="D30" s="121" t="s">
        <v>561</v>
      </c>
      <c r="E30" s="135" t="s">
        <v>562</v>
      </c>
      <c r="F30" s="135" t="s">
        <v>563</v>
      </c>
    </row>
    <row r="31" spans="1:6" ht="189">
      <c r="A31" s="125">
        <v>1</v>
      </c>
      <c r="B31" s="134" t="s">
        <v>564</v>
      </c>
      <c r="C31" s="123" t="s">
        <v>565</v>
      </c>
      <c r="D31" s="123" t="s">
        <v>566</v>
      </c>
      <c r="E31" s="126">
        <v>550</v>
      </c>
      <c r="F31" s="126">
        <f t="shared" ref="F31:F40" si="0">E31*2100</f>
        <v>1155000</v>
      </c>
    </row>
    <row r="32" spans="1:6" ht="162">
      <c r="A32" s="125">
        <v>2</v>
      </c>
      <c r="B32" s="125" t="s">
        <v>567</v>
      </c>
      <c r="C32" s="123" t="s">
        <v>568</v>
      </c>
      <c r="D32" s="123" t="s">
        <v>569</v>
      </c>
      <c r="E32" s="126">
        <v>210</v>
      </c>
      <c r="F32" s="126">
        <f t="shared" si="0"/>
        <v>441000</v>
      </c>
    </row>
    <row r="33" spans="1:8" ht="162">
      <c r="A33" s="125">
        <v>3</v>
      </c>
      <c r="B33" s="125" t="s">
        <v>570</v>
      </c>
      <c r="C33" s="123" t="s">
        <v>571</v>
      </c>
      <c r="D33" s="123" t="s">
        <v>572</v>
      </c>
      <c r="E33" s="126">
        <v>230</v>
      </c>
      <c r="F33" s="126">
        <f t="shared" si="0"/>
        <v>483000</v>
      </c>
    </row>
    <row r="34" spans="1:8" ht="148.5">
      <c r="A34" s="125">
        <v>4</v>
      </c>
      <c r="B34" s="125" t="s">
        <v>573</v>
      </c>
      <c r="C34" s="123" t="s">
        <v>574</v>
      </c>
      <c r="D34" s="123" t="s">
        <v>575</v>
      </c>
      <c r="E34" s="126">
        <v>198</v>
      </c>
      <c r="F34" s="126">
        <f t="shared" si="0"/>
        <v>415800</v>
      </c>
    </row>
    <row r="35" spans="1:8" ht="162">
      <c r="A35" s="125">
        <v>5</v>
      </c>
      <c r="B35" s="125" t="s">
        <v>576</v>
      </c>
      <c r="C35" s="123" t="s">
        <v>577</v>
      </c>
      <c r="D35" s="123" t="s">
        <v>578</v>
      </c>
      <c r="E35" s="126">
        <v>230</v>
      </c>
      <c r="F35" s="126">
        <f t="shared" si="0"/>
        <v>483000</v>
      </c>
    </row>
    <row r="36" spans="1:8" ht="189">
      <c r="A36" s="125">
        <v>6</v>
      </c>
      <c r="B36" s="125" t="s">
        <v>579</v>
      </c>
      <c r="C36" s="123" t="s">
        <v>580</v>
      </c>
      <c r="D36" s="123" t="s">
        <v>581</v>
      </c>
      <c r="E36" s="126">
        <v>100</v>
      </c>
      <c r="F36" s="126">
        <f t="shared" si="0"/>
        <v>210000</v>
      </c>
    </row>
    <row r="37" spans="1:8" ht="135">
      <c r="A37" s="125">
        <v>7</v>
      </c>
      <c r="B37" s="125" t="s">
        <v>582</v>
      </c>
      <c r="C37" s="123" t="s">
        <v>583</v>
      </c>
      <c r="D37" s="123" t="s">
        <v>584</v>
      </c>
      <c r="E37" s="126">
        <v>550</v>
      </c>
      <c r="F37" s="126">
        <f t="shared" si="0"/>
        <v>1155000</v>
      </c>
    </row>
    <row r="38" spans="1:8" ht="162">
      <c r="A38" s="125">
        <v>8</v>
      </c>
      <c r="B38" s="125" t="s">
        <v>585</v>
      </c>
      <c r="C38" s="123" t="s">
        <v>586</v>
      </c>
      <c r="D38" s="123" t="s">
        <v>587</v>
      </c>
      <c r="E38" s="126">
        <v>158</v>
      </c>
      <c r="F38" s="126">
        <f t="shared" si="0"/>
        <v>331800</v>
      </c>
    </row>
    <row r="39" spans="1:8" ht="202.5">
      <c r="A39" s="125">
        <v>9</v>
      </c>
      <c r="B39" s="125" t="s">
        <v>588</v>
      </c>
      <c r="C39" s="123" t="s">
        <v>589</v>
      </c>
      <c r="D39" s="123" t="s">
        <v>590</v>
      </c>
      <c r="E39" s="126">
        <v>380</v>
      </c>
      <c r="F39" s="126">
        <f t="shared" si="0"/>
        <v>798000</v>
      </c>
    </row>
    <row r="40" spans="1:8" ht="175.5">
      <c r="A40" s="125">
        <v>10</v>
      </c>
      <c r="B40" s="136" t="s">
        <v>591</v>
      </c>
      <c r="C40" s="123" t="s">
        <v>592</v>
      </c>
      <c r="D40" s="123" t="s">
        <v>593</v>
      </c>
      <c r="E40" s="126">
        <v>170</v>
      </c>
      <c r="F40" s="126">
        <f t="shared" si="0"/>
        <v>357000</v>
      </c>
    </row>
    <row r="41" spans="1:8">
      <c r="A41" s="137"/>
      <c r="B41" s="137" t="s">
        <v>174</v>
      </c>
      <c r="C41" s="137"/>
      <c r="D41" s="137"/>
      <c r="E41" s="138"/>
      <c r="F41" s="138">
        <f>SUM(F31:F40)</f>
        <v>5829600</v>
      </c>
    </row>
    <row r="43" spans="1:8" ht="39.75" customHeight="1">
      <c r="A43" s="1417" t="s">
        <v>594</v>
      </c>
      <c r="B43" s="1418"/>
      <c r="C43" s="1418"/>
      <c r="D43" s="1418"/>
      <c r="E43" s="1418"/>
      <c r="F43" s="1418"/>
      <c r="G43" s="1418"/>
      <c r="H43" s="1419"/>
    </row>
    <row r="44" spans="1:8">
      <c r="A44" s="9" t="s">
        <v>1</v>
      </c>
      <c r="B44" s="9" t="s">
        <v>595</v>
      </c>
      <c r="C44" s="9" t="s">
        <v>560</v>
      </c>
      <c r="D44" s="9" t="s">
        <v>561</v>
      </c>
      <c r="E44" s="9" t="s">
        <v>596</v>
      </c>
      <c r="F44" s="9" t="s">
        <v>597</v>
      </c>
      <c r="G44" s="9" t="s">
        <v>598</v>
      </c>
      <c r="H44" s="9" t="s">
        <v>156</v>
      </c>
    </row>
    <row r="45" spans="1:8">
      <c r="A45" s="9"/>
      <c r="B45" s="9"/>
      <c r="C45" s="9"/>
      <c r="D45" s="9"/>
      <c r="E45" s="9"/>
      <c r="F45" s="9"/>
      <c r="G45" s="9"/>
      <c r="H45" s="9"/>
    </row>
    <row r="46" spans="1:8" ht="256.5">
      <c r="A46" s="139">
        <v>1</v>
      </c>
      <c r="B46" s="25" t="s">
        <v>599</v>
      </c>
      <c r="C46" s="25" t="s">
        <v>600</v>
      </c>
      <c r="D46" s="25" t="s">
        <v>601</v>
      </c>
      <c r="E46" s="139">
        <v>79</v>
      </c>
      <c r="F46" s="139">
        <v>1580000</v>
      </c>
      <c r="G46" s="139">
        <v>1185000</v>
      </c>
      <c r="H46" s="31">
        <v>2765000</v>
      </c>
    </row>
    <row r="47" spans="1:8" ht="171">
      <c r="A47" s="139">
        <v>2</v>
      </c>
      <c r="B47" s="25" t="s">
        <v>602</v>
      </c>
      <c r="C47" s="25" t="s">
        <v>603</v>
      </c>
      <c r="D47" s="25" t="s">
        <v>604</v>
      </c>
      <c r="E47" s="139">
        <v>77</v>
      </c>
      <c r="F47" s="139">
        <v>1540000</v>
      </c>
      <c r="G47" s="139">
        <v>1155000</v>
      </c>
      <c r="H47" s="31">
        <v>2695000</v>
      </c>
    </row>
    <row r="48" spans="1:8" ht="156.75">
      <c r="A48" s="139">
        <v>3</v>
      </c>
      <c r="B48" s="25" t="s">
        <v>605</v>
      </c>
      <c r="C48" s="25" t="s">
        <v>606</v>
      </c>
      <c r="D48" s="25" t="s">
        <v>607</v>
      </c>
      <c r="E48" s="139" t="s">
        <v>608</v>
      </c>
      <c r="F48" s="139">
        <v>1780000</v>
      </c>
      <c r="G48" s="139">
        <v>1335000</v>
      </c>
      <c r="H48" s="31">
        <v>3115000</v>
      </c>
    </row>
    <row r="49" spans="1:8" ht="156.75">
      <c r="A49" s="139">
        <v>4</v>
      </c>
      <c r="B49" s="25" t="s">
        <v>609</v>
      </c>
      <c r="C49" s="25" t="s">
        <v>610</v>
      </c>
      <c r="D49" s="25" t="s">
        <v>611</v>
      </c>
      <c r="E49" s="139">
        <v>108</v>
      </c>
      <c r="F49" s="139">
        <v>2160000</v>
      </c>
      <c r="G49" s="139">
        <v>1620000</v>
      </c>
      <c r="H49" s="31">
        <v>3780000</v>
      </c>
    </row>
    <row r="50" spans="1:8" ht="185.25">
      <c r="A50" s="139">
        <v>5</v>
      </c>
      <c r="B50" s="25" t="s">
        <v>612</v>
      </c>
      <c r="C50" s="25" t="s">
        <v>613</v>
      </c>
      <c r="D50" s="25" t="s">
        <v>614</v>
      </c>
      <c r="E50" s="139">
        <v>36</v>
      </c>
      <c r="F50" s="139">
        <v>720000</v>
      </c>
      <c r="G50" s="139">
        <v>540000</v>
      </c>
      <c r="H50" s="31">
        <v>1260000</v>
      </c>
    </row>
    <row r="51" spans="1:8" ht="185.25">
      <c r="A51" s="139">
        <v>6</v>
      </c>
      <c r="B51" s="25" t="s">
        <v>615</v>
      </c>
      <c r="C51" s="25" t="s">
        <v>616</v>
      </c>
      <c r="D51" s="25" t="s">
        <v>617</v>
      </c>
      <c r="E51" s="139">
        <v>60</v>
      </c>
      <c r="F51" s="139">
        <v>720000</v>
      </c>
      <c r="G51" s="139">
        <v>900000</v>
      </c>
      <c r="H51" s="31">
        <v>2100000</v>
      </c>
    </row>
    <row r="52" spans="1:8" ht="213.75">
      <c r="A52" s="139">
        <v>7</v>
      </c>
      <c r="B52" s="25" t="s">
        <v>618</v>
      </c>
      <c r="C52" s="25" t="s">
        <v>619</v>
      </c>
      <c r="D52" s="25" t="s">
        <v>620</v>
      </c>
      <c r="E52" s="139">
        <v>52</v>
      </c>
      <c r="F52" s="139">
        <v>1040000</v>
      </c>
      <c r="G52" s="139">
        <v>780000</v>
      </c>
      <c r="H52" s="31">
        <v>1820000</v>
      </c>
    </row>
    <row r="53" spans="1:8">
      <c r="A53" s="139"/>
      <c r="B53" s="25"/>
      <c r="C53" s="25"/>
      <c r="D53" s="25"/>
      <c r="E53" s="139"/>
      <c r="F53" s="139"/>
      <c r="G53" s="139"/>
      <c r="H53" s="31"/>
    </row>
    <row r="54" spans="1:8" ht="199.5">
      <c r="A54" s="139">
        <v>8</v>
      </c>
      <c r="B54" s="25" t="s">
        <v>564</v>
      </c>
      <c r="C54" s="25" t="s">
        <v>565</v>
      </c>
      <c r="D54" s="25" t="s">
        <v>566</v>
      </c>
      <c r="E54" s="139">
        <v>134</v>
      </c>
      <c r="F54" s="139">
        <v>2680000</v>
      </c>
      <c r="G54" s="139">
        <v>2010000</v>
      </c>
      <c r="H54" s="31">
        <v>5845000</v>
      </c>
    </row>
    <row r="55" spans="1:8" ht="171">
      <c r="A55" s="139">
        <v>2</v>
      </c>
      <c r="B55" s="25" t="s">
        <v>567</v>
      </c>
      <c r="C55" s="25" t="s">
        <v>568</v>
      </c>
      <c r="D55" s="25" t="s">
        <v>569</v>
      </c>
      <c r="E55" s="139">
        <v>75</v>
      </c>
      <c r="F55" s="139">
        <v>1500000</v>
      </c>
      <c r="G55" s="139">
        <v>1125000</v>
      </c>
      <c r="H55" s="31">
        <v>3066000</v>
      </c>
    </row>
    <row r="56" spans="1:8" ht="171">
      <c r="A56" s="139">
        <v>9</v>
      </c>
      <c r="B56" s="25" t="s">
        <v>567</v>
      </c>
      <c r="C56" s="25" t="s">
        <v>568</v>
      </c>
      <c r="D56" s="25" t="s">
        <v>569</v>
      </c>
      <c r="E56" s="139">
        <v>75</v>
      </c>
      <c r="F56" s="139">
        <v>1500000</v>
      </c>
      <c r="G56" s="139">
        <v>1125000</v>
      </c>
      <c r="H56" s="31">
        <v>3108000</v>
      </c>
    </row>
    <row r="57" spans="1:8" ht="185.25">
      <c r="A57" s="139">
        <v>10</v>
      </c>
      <c r="B57" s="25" t="s">
        <v>570</v>
      </c>
      <c r="C57" s="25" t="s">
        <v>571</v>
      </c>
      <c r="D57" s="25" t="s">
        <v>572</v>
      </c>
      <c r="E57" s="139">
        <v>84</v>
      </c>
      <c r="F57" s="139">
        <v>1680000</v>
      </c>
      <c r="G57" s="139">
        <v>1260000</v>
      </c>
      <c r="H57" s="31">
        <v>3423000</v>
      </c>
    </row>
    <row r="58" spans="1:8" ht="185.25">
      <c r="A58" s="139">
        <v>11</v>
      </c>
      <c r="B58" s="25" t="s">
        <v>573</v>
      </c>
      <c r="C58" s="25" t="s">
        <v>574</v>
      </c>
      <c r="D58" s="25" t="s">
        <v>575</v>
      </c>
      <c r="E58" s="139">
        <v>83</v>
      </c>
      <c r="F58" s="139">
        <v>1660000</v>
      </c>
      <c r="G58" s="139">
        <v>1245000</v>
      </c>
      <c r="H58" s="31">
        <v>3320800</v>
      </c>
    </row>
    <row r="59" spans="1:8" ht="171">
      <c r="A59" s="139">
        <v>12</v>
      </c>
      <c r="B59" s="25" t="s">
        <v>576</v>
      </c>
      <c r="C59" s="25" t="s">
        <v>577</v>
      </c>
      <c r="D59" s="25" t="s">
        <v>578</v>
      </c>
      <c r="E59" s="139">
        <v>44</v>
      </c>
      <c r="F59" s="139">
        <v>880000</v>
      </c>
      <c r="G59" s="139">
        <v>660000</v>
      </c>
      <c r="H59" s="31">
        <v>2023000</v>
      </c>
    </row>
    <row r="60" spans="1:8" ht="199.5">
      <c r="A60" s="139">
        <v>13</v>
      </c>
      <c r="B60" s="25" t="s">
        <v>579</v>
      </c>
      <c r="C60" s="25" t="s">
        <v>580</v>
      </c>
      <c r="D60" s="25" t="s">
        <v>581</v>
      </c>
      <c r="E60" s="139">
        <v>36</v>
      </c>
      <c r="F60" s="139">
        <v>720000</v>
      </c>
      <c r="G60" s="139">
        <v>540000</v>
      </c>
      <c r="H60" s="31">
        <v>1470000</v>
      </c>
    </row>
    <row r="61" spans="1:8" ht="156.75">
      <c r="A61" s="139">
        <v>14</v>
      </c>
      <c r="B61" s="25" t="s">
        <v>582</v>
      </c>
      <c r="C61" s="25" t="s">
        <v>583</v>
      </c>
      <c r="D61" s="25" t="s">
        <v>584</v>
      </c>
      <c r="E61" s="139">
        <v>10</v>
      </c>
      <c r="F61" s="139">
        <v>200000</v>
      </c>
      <c r="G61" s="139">
        <v>150000</v>
      </c>
      <c r="H61" s="31">
        <v>1505000</v>
      </c>
    </row>
    <row r="62" spans="1:8" ht="185.25">
      <c r="A62" s="139">
        <v>15</v>
      </c>
      <c r="B62" s="25" t="s">
        <v>585</v>
      </c>
      <c r="C62" s="25" t="s">
        <v>586</v>
      </c>
      <c r="D62" s="25" t="s">
        <v>587</v>
      </c>
      <c r="E62" s="139">
        <v>42</v>
      </c>
      <c r="F62" s="139">
        <v>840000</v>
      </c>
      <c r="G62" s="139">
        <v>630000</v>
      </c>
      <c r="H62" s="31">
        <v>1801800</v>
      </c>
    </row>
    <row r="63" spans="1:8" ht="228">
      <c r="A63" s="139">
        <v>16</v>
      </c>
      <c r="B63" s="25" t="s">
        <v>588</v>
      </c>
      <c r="C63" s="25" t="s">
        <v>589</v>
      </c>
      <c r="D63" s="25" t="s">
        <v>590</v>
      </c>
      <c r="E63" s="139">
        <v>208</v>
      </c>
      <c r="F63" s="139">
        <v>4160000</v>
      </c>
      <c r="G63" s="139">
        <v>3120000</v>
      </c>
      <c r="H63" s="31">
        <v>8078000</v>
      </c>
    </row>
    <row r="64" spans="1:8" ht="185.25">
      <c r="A64" s="139">
        <v>17</v>
      </c>
      <c r="B64" s="25" t="s">
        <v>591</v>
      </c>
      <c r="C64" s="25" t="s">
        <v>592</v>
      </c>
      <c r="D64" s="25" t="s">
        <v>593</v>
      </c>
      <c r="E64" s="139">
        <v>59</v>
      </c>
      <c r="F64" s="139">
        <v>1180000</v>
      </c>
      <c r="G64" s="139">
        <v>885000</v>
      </c>
      <c r="H64" s="31">
        <v>2422000</v>
      </c>
    </row>
    <row r="65" spans="1:8">
      <c r="A65" s="139"/>
      <c r="B65" s="139" t="s">
        <v>556</v>
      </c>
      <c r="C65" s="139"/>
      <c r="D65" s="139"/>
      <c r="E65" s="139"/>
      <c r="F65" s="139"/>
      <c r="G65" s="139"/>
      <c r="H65" s="31">
        <v>53597600</v>
      </c>
    </row>
    <row r="69" spans="1:8" ht="45.75" customHeight="1">
      <c r="A69" s="1420" t="s">
        <v>621</v>
      </c>
      <c r="B69" s="1421"/>
      <c r="C69" s="1421"/>
      <c r="D69" s="1421"/>
      <c r="E69" s="1421"/>
      <c r="F69" s="1421"/>
    </row>
    <row r="70" spans="1:8">
      <c r="A70" s="134" t="s">
        <v>1</v>
      </c>
      <c r="B70" s="134" t="s">
        <v>338</v>
      </c>
      <c r="C70" s="111" t="s">
        <v>403</v>
      </c>
      <c r="D70" s="134" t="s">
        <v>315</v>
      </c>
      <c r="E70" s="134" t="s">
        <v>166</v>
      </c>
      <c r="F70" s="134" t="s">
        <v>179</v>
      </c>
    </row>
    <row r="71" spans="1:8">
      <c r="A71" s="134">
        <v>1</v>
      </c>
      <c r="B71" s="123" t="s">
        <v>622</v>
      </c>
      <c r="C71" s="134" t="s">
        <v>317</v>
      </c>
      <c r="D71" s="134">
        <v>2</v>
      </c>
      <c r="E71" s="140">
        <v>2609000</v>
      </c>
      <c r="F71" s="140">
        <f t="shared" ref="F71:F82" si="1">D71*E71</f>
        <v>5218000</v>
      </c>
    </row>
    <row r="72" spans="1:8">
      <c r="A72" s="134">
        <v>2</v>
      </c>
      <c r="B72" s="123" t="s">
        <v>623</v>
      </c>
      <c r="C72" s="134" t="s">
        <v>317</v>
      </c>
      <c r="D72" s="134">
        <v>2</v>
      </c>
      <c r="E72" s="140">
        <v>2824000</v>
      </c>
      <c r="F72" s="140">
        <f t="shared" si="1"/>
        <v>5648000</v>
      </c>
    </row>
    <row r="73" spans="1:8">
      <c r="A73" s="134">
        <v>3</v>
      </c>
      <c r="B73" s="123" t="s">
        <v>624</v>
      </c>
      <c r="C73" s="134" t="s">
        <v>317</v>
      </c>
      <c r="D73" s="134">
        <v>2</v>
      </c>
      <c r="E73" s="140">
        <v>2672000</v>
      </c>
      <c r="F73" s="140">
        <f t="shared" si="1"/>
        <v>5344000</v>
      </c>
    </row>
    <row r="74" spans="1:8" ht="27">
      <c r="A74" s="134">
        <v>4</v>
      </c>
      <c r="B74" s="123" t="s">
        <v>625</v>
      </c>
      <c r="C74" s="134" t="s">
        <v>317</v>
      </c>
      <c r="D74" s="134">
        <v>3</v>
      </c>
      <c r="E74" s="140">
        <v>3255000</v>
      </c>
      <c r="F74" s="140">
        <f t="shared" si="1"/>
        <v>9765000</v>
      </c>
    </row>
    <row r="75" spans="1:8">
      <c r="A75" s="134">
        <v>5</v>
      </c>
      <c r="B75" s="123" t="s">
        <v>626</v>
      </c>
      <c r="C75" s="134" t="s">
        <v>317</v>
      </c>
      <c r="D75" s="134">
        <v>1</v>
      </c>
      <c r="E75" s="140">
        <v>5896000</v>
      </c>
      <c r="F75" s="140">
        <f t="shared" si="1"/>
        <v>5896000</v>
      </c>
    </row>
    <row r="76" spans="1:8" ht="27">
      <c r="A76" s="134">
        <v>6</v>
      </c>
      <c r="B76" s="123" t="s">
        <v>627</v>
      </c>
      <c r="C76" s="134" t="s">
        <v>317</v>
      </c>
      <c r="D76" s="134">
        <v>1</v>
      </c>
      <c r="E76" s="140">
        <v>2811000</v>
      </c>
      <c r="F76" s="140">
        <f t="shared" si="1"/>
        <v>2811000</v>
      </c>
    </row>
    <row r="77" spans="1:8">
      <c r="A77" s="134">
        <v>7</v>
      </c>
      <c r="B77" s="123" t="s">
        <v>628</v>
      </c>
      <c r="C77" s="134" t="s">
        <v>317</v>
      </c>
      <c r="D77" s="134">
        <v>3</v>
      </c>
      <c r="E77" s="140">
        <v>2002000</v>
      </c>
      <c r="F77" s="140">
        <f t="shared" si="1"/>
        <v>6006000</v>
      </c>
    </row>
    <row r="78" spans="1:8" ht="27">
      <c r="A78" s="134">
        <v>8</v>
      </c>
      <c r="B78" s="123" t="s">
        <v>629</v>
      </c>
      <c r="C78" s="134" t="s">
        <v>317</v>
      </c>
      <c r="D78" s="134">
        <v>2</v>
      </c>
      <c r="E78" s="140">
        <v>3596000</v>
      </c>
      <c r="F78" s="140">
        <f t="shared" si="1"/>
        <v>7192000</v>
      </c>
    </row>
    <row r="79" spans="1:8">
      <c r="A79" s="134">
        <v>9</v>
      </c>
      <c r="B79" s="123" t="s">
        <v>630</v>
      </c>
      <c r="C79" s="134" t="s">
        <v>317</v>
      </c>
      <c r="D79" s="134">
        <v>1</v>
      </c>
      <c r="E79" s="140">
        <v>1950000</v>
      </c>
      <c r="F79" s="140">
        <f t="shared" si="1"/>
        <v>1950000</v>
      </c>
    </row>
    <row r="80" spans="1:8" ht="27">
      <c r="A80" s="134">
        <v>10</v>
      </c>
      <c r="B80" s="123" t="s">
        <v>631</v>
      </c>
      <c r="C80" s="134" t="s">
        <v>317</v>
      </c>
      <c r="D80" s="134">
        <v>1</v>
      </c>
      <c r="E80" s="140">
        <v>8568000</v>
      </c>
      <c r="F80" s="140">
        <f t="shared" si="1"/>
        <v>8568000</v>
      </c>
    </row>
    <row r="81" spans="1:8" ht="27">
      <c r="A81" s="134">
        <v>11</v>
      </c>
      <c r="B81" s="123" t="s">
        <v>632</v>
      </c>
      <c r="C81" s="134" t="s">
        <v>317</v>
      </c>
      <c r="D81" s="134">
        <v>1</v>
      </c>
      <c r="E81" s="140">
        <v>2488000</v>
      </c>
      <c r="F81" s="140">
        <f t="shared" si="1"/>
        <v>2488000</v>
      </c>
    </row>
    <row r="82" spans="1:8" ht="27">
      <c r="A82" s="134">
        <v>12</v>
      </c>
      <c r="B82" s="123" t="s">
        <v>633</v>
      </c>
      <c r="C82" s="134" t="s">
        <v>317</v>
      </c>
      <c r="D82" s="134">
        <v>1</v>
      </c>
      <c r="E82" s="140">
        <v>1269000</v>
      </c>
      <c r="F82" s="140">
        <f t="shared" si="1"/>
        <v>1269000</v>
      </c>
    </row>
    <row r="83" spans="1:8">
      <c r="A83" s="1422" t="s">
        <v>174</v>
      </c>
      <c r="B83" s="1422"/>
      <c r="C83" s="1422"/>
      <c r="D83" s="1422"/>
      <c r="E83" s="1422"/>
      <c r="F83" s="140">
        <f>SUM(F71:F82)</f>
        <v>62155000</v>
      </c>
    </row>
    <row r="86" spans="1:8">
      <c r="A86" s="32"/>
      <c r="B86" s="143"/>
      <c r="C86" s="1427" t="s">
        <v>1192</v>
      </c>
      <c r="D86" s="1427"/>
      <c r="E86" s="1427"/>
      <c r="F86" s="1427"/>
      <c r="G86" s="1427"/>
      <c r="H86" s="32"/>
    </row>
    <row r="87" spans="1:8">
      <c r="A87" s="32"/>
      <c r="B87" s="143"/>
      <c r="C87" s="143"/>
      <c r="D87" s="32"/>
      <c r="E87" s="32"/>
      <c r="F87" s="32"/>
      <c r="G87" s="32"/>
      <c r="H87" s="32"/>
    </row>
    <row r="88" spans="1:8">
      <c r="A88" s="144" t="s">
        <v>1</v>
      </c>
      <c r="B88" s="1428" t="s">
        <v>662</v>
      </c>
      <c r="C88" s="1429"/>
      <c r="D88" s="145" t="s">
        <v>397</v>
      </c>
      <c r="E88" s="145" t="s">
        <v>403</v>
      </c>
      <c r="F88" s="145" t="s">
        <v>663</v>
      </c>
      <c r="G88" s="145" t="s">
        <v>664</v>
      </c>
      <c r="H88" s="145" t="s">
        <v>665</v>
      </c>
    </row>
    <row r="89" spans="1:8" ht="216">
      <c r="A89" s="33">
        <v>1</v>
      </c>
      <c r="B89" s="1430" t="s">
        <v>666</v>
      </c>
      <c r="C89" s="146" t="s">
        <v>667</v>
      </c>
      <c r="D89" s="147">
        <v>10000</v>
      </c>
      <c r="E89" s="148" t="s">
        <v>668</v>
      </c>
      <c r="F89" s="149">
        <v>8000000</v>
      </c>
      <c r="G89" s="150" t="s">
        <v>669</v>
      </c>
      <c r="H89" s="151" t="s">
        <v>670</v>
      </c>
    </row>
    <row r="90" spans="1:8" ht="216">
      <c r="A90" s="33">
        <v>2</v>
      </c>
      <c r="B90" s="1431"/>
      <c r="C90" s="152" t="s">
        <v>671</v>
      </c>
      <c r="D90" s="147">
        <v>10000</v>
      </c>
      <c r="E90" s="148" t="s">
        <v>672</v>
      </c>
      <c r="F90" s="149">
        <v>19560000</v>
      </c>
      <c r="G90" s="150" t="s">
        <v>669</v>
      </c>
      <c r="H90" s="151" t="s">
        <v>670</v>
      </c>
    </row>
    <row r="91" spans="1:8" ht="216">
      <c r="A91" s="33">
        <v>3</v>
      </c>
      <c r="B91" s="1431"/>
      <c r="C91" s="152" t="s">
        <v>673</v>
      </c>
      <c r="D91" s="149">
        <v>10000</v>
      </c>
      <c r="E91" s="148" t="s">
        <v>674</v>
      </c>
      <c r="F91" s="149">
        <v>7200000</v>
      </c>
      <c r="G91" s="150" t="s">
        <v>669</v>
      </c>
      <c r="H91" s="151" t="s">
        <v>670</v>
      </c>
    </row>
    <row r="92" spans="1:8">
      <c r="A92" s="1433">
        <v>4</v>
      </c>
      <c r="B92" s="1431"/>
      <c r="C92" s="1436" t="s">
        <v>675</v>
      </c>
      <c r="D92" s="149">
        <v>50000</v>
      </c>
      <c r="E92" s="148" t="s">
        <v>676</v>
      </c>
      <c r="F92" s="149">
        <v>55000000</v>
      </c>
      <c r="G92" s="1439" t="s">
        <v>669</v>
      </c>
      <c r="H92" s="1448" t="s">
        <v>670</v>
      </c>
    </row>
    <row r="93" spans="1:8">
      <c r="A93" s="1434"/>
      <c r="B93" s="1431"/>
      <c r="C93" s="1437"/>
      <c r="D93" s="147">
        <v>30000</v>
      </c>
      <c r="E93" s="148" t="s">
        <v>677</v>
      </c>
      <c r="F93" s="149">
        <v>45000000</v>
      </c>
      <c r="G93" s="1440"/>
      <c r="H93" s="1448"/>
    </row>
    <row r="94" spans="1:8">
      <c r="A94" s="1435"/>
      <c r="B94" s="1432"/>
      <c r="C94" s="1438"/>
      <c r="D94" s="149">
        <v>20000</v>
      </c>
      <c r="E94" s="148" t="s">
        <v>678</v>
      </c>
      <c r="F94" s="149">
        <v>30000000</v>
      </c>
      <c r="G94" s="1441"/>
      <c r="H94" s="1448"/>
    </row>
    <row r="95" spans="1:8">
      <c r="A95" s="1449" t="s">
        <v>433</v>
      </c>
      <c r="B95" s="1450"/>
      <c r="C95" s="1450"/>
      <c r="D95" s="1446"/>
      <c r="E95" s="1447"/>
      <c r="F95" s="153">
        <f>SUM(F89:F94)</f>
        <v>164760000</v>
      </c>
      <c r="G95" s="33"/>
      <c r="H95" s="33"/>
    </row>
    <row r="96" spans="1:8" ht="216">
      <c r="A96" s="53">
        <v>5</v>
      </c>
      <c r="B96" s="1430" t="s">
        <v>679</v>
      </c>
      <c r="C96" s="154" t="s">
        <v>680</v>
      </c>
      <c r="D96" s="155">
        <v>1650</v>
      </c>
      <c r="E96" s="155">
        <v>3500</v>
      </c>
      <c r="F96" s="156">
        <v>5775000</v>
      </c>
      <c r="G96" s="157" t="s">
        <v>669</v>
      </c>
      <c r="H96" s="158" t="s">
        <v>670</v>
      </c>
    </row>
    <row r="97" spans="1:8" ht="121.5">
      <c r="A97" s="53">
        <v>6</v>
      </c>
      <c r="B97" s="1431"/>
      <c r="C97" s="152" t="s">
        <v>681</v>
      </c>
      <c r="D97" s="148">
        <v>9000</v>
      </c>
      <c r="E97" s="148" t="s">
        <v>682</v>
      </c>
      <c r="F97" s="159">
        <v>5400000</v>
      </c>
      <c r="G97" s="150" t="s">
        <v>683</v>
      </c>
      <c r="H97" s="160" t="s">
        <v>684</v>
      </c>
    </row>
    <row r="98" spans="1:8" ht="216">
      <c r="A98" s="53">
        <v>7</v>
      </c>
      <c r="B98" s="1431"/>
      <c r="C98" s="161" t="s">
        <v>685</v>
      </c>
      <c r="D98" s="148">
        <v>9500</v>
      </c>
      <c r="E98" s="148" t="s">
        <v>686</v>
      </c>
      <c r="F98" s="159">
        <v>9500000</v>
      </c>
      <c r="G98" s="150" t="s">
        <v>669</v>
      </c>
      <c r="H98" s="160" t="s">
        <v>687</v>
      </c>
    </row>
    <row r="99" spans="1:8" ht="216">
      <c r="A99" s="53">
        <v>8</v>
      </c>
      <c r="B99" s="1431"/>
      <c r="C99" s="161" t="s">
        <v>688</v>
      </c>
      <c r="D99" s="148">
        <v>9500</v>
      </c>
      <c r="E99" s="148" t="s">
        <v>686</v>
      </c>
      <c r="F99" s="159">
        <v>9500000</v>
      </c>
      <c r="G99" s="150" t="s">
        <v>669</v>
      </c>
      <c r="H99" s="160" t="s">
        <v>687</v>
      </c>
    </row>
    <row r="100" spans="1:8" ht="202.5">
      <c r="A100" s="53">
        <v>9</v>
      </c>
      <c r="B100" s="1432"/>
      <c r="C100" s="162" t="s">
        <v>689</v>
      </c>
      <c r="D100" s="163"/>
      <c r="E100" s="163"/>
      <c r="F100" s="164">
        <v>8446000</v>
      </c>
      <c r="G100" s="165" t="s">
        <v>690</v>
      </c>
      <c r="H100" s="165"/>
    </row>
    <row r="101" spans="1:8">
      <c r="A101" s="1451" t="s">
        <v>433</v>
      </c>
      <c r="B101" s="1452"/>
      <c r="C101" s="1452"/>
      <c r="D101" s="1452"/>
      <c r="E101" s="1453"/>
      <c r="F101" s="166">
        <f>SUM(F96:F100)</f>
        <v>38621000</v>
      </c>
      <c r="G101" s="167"/>
      <c r="H101" s="167"/>
    </row>
    <row r="102" spans="1:8" ht="216">
      <c r="A102" s="53">
        <v>10</v>
      </c>
      <c r="B102" s="1430" t="s">
        <v>691</v>
      </c>
      <c r="C102" s="168" t="s">
        <v>692</v>
      </c>
      <c r="D102" s="53"/>
      <c r="E102" s="53"/>
      <c r="F102" s="169">
        <v>50000000</v>
      </c>
      <c r="G102" s="150" t="s">
        <v>693</v>
      </c>
      <c r="H102" s="151" t="s">
        <v>694</v>
      </c>
    </row>
    <row r="103" spans="1:8" ht="216">
      <c r="A103" s="53">
        <v>11</v>
      </c>
      <c r="B103" s="1431"/>
      <c r="C103" s="168" t="s">
        <v>695</v>
      </c>
      <c r="D103" s="53"/>
      <c r="E103" s="53"/>
      <c r="F103" s="170">
        <v>1600000</v>
      </c>
      <c r="G103" s="150" t="s">
        <v>693</v>
      </c>
      <c r="H103" s="151" t="s">
        <v>696</v>
      </c>
    </row>
    <row r="104" spans="1:8" ht="283.5">
      <c r="A104" s="53">
        <v>12</v>
      </c>
      <c r="B104" s="1431"/>
      <c r="C104" s="168" t="s">
        <v>697</v>
      </c>
      <c r="D104" s="53"/>
      <c r="E104" s="53"/>
      <c r="F104" s="170">
        <v>11256000</v>
      </c>
      <c r="G104" s="171" t="s">
        <v>690</v>
      </c>
      <c r="H104" s="160" t="s">
        <v>698</v>
      </c>
    </row>
    <row r="105" spans="1:8" ht="216">
      <c r="A105" s="53"/>
      <c r="B105" s="1431"/>
      <c r="C105" s="168" t="s">
        <v>699</v>
      </c>
      <c r="D105" s="53"/>
      <c r="E105" s="53"/>
      <c r="F105" s="170">
        <v>6400000</v>
      </c>
      <c r="G105" s="150" t="s">
        <v>669</v>
      </c>
      <c r="H105" s="160"/>
    </row>
    <row r="106" spans="1:8" ht="135">
      <c r="A106" s="53">
        <v>13</v>
      </c>
      <c r="B106" s="1431"/>
      <c r="C106" s="172" t="s">
        <v>700</v>
      </c>
      <c r="D106" s="53"/>
      <c r="E106" s="53"/>
      <c r="F106" s="173">
        <v>3910000</v>
      </c>
      <c r="G106" s="150" t="s">
        <v>701</v>
      </c>
      <c r="H106" s="151" t="s">
        <v>702</v>
      </c>
    </row>
    <row r="107" spans="1:8" ht="121.5">
      <c r="A107" s="53">
        <v>14</v>
      </c>
      <c r="B107" s="1432"/>
      <c r="C107" s="174" t="s">
        <v>703</v>
      </c>
      <c r="D107" s="53"/>
      <c r="E107" s="53"/>
      <c r="F107" s="173">
        <v>10450000</v>
      </c>
      <c r="G107" s="150" t="s">
        <v>704</v>
      </c>
      <c r="H107" s="151" t="s">
        <v>705</v>
      </c>
    </row>
    <row r="108" spans="1:8">
      <c r="A108" s="1449" t="s">
        <v>433</v>
      </c>
      <c r="B108" s="1450"/>
      <c r="C108" s="1450"/>
      <c r="D108" s="1450"/>
      <c r="E108" s="1454"/>
      <c r="F108" s="175">
        <f>SUM(F102:F107)</f>
        <v>83616000</v>
      </c>
      <c r="G108" s="163"/>
      <c r="H108" s="176"/>
    </row>
    <row r="109" spans="1:8" ht="216">
      <c r="A109" s="33">
        <v>18</v>
      </c>
      <c r="B109" s="1430" t="s">
        <v>712</v>
      </c>
      <c r="C109" s="168" t="s">
        <v>713</v>
      </c>
      <c r="D109" s="177"/>
      <c r="E109" s="177"/>
      <c r="F109" s="182">
        <v>15000000</v>
      </c>
      <c r="G109" s="150" t="s">
        <v>669</v>
      </c>
      <c r="H109" s="151" t="s">
        <v>710</v>
      </c>
    </row>
    <row r="110" spans="1:8" ht="116.25" customHeight="1">
      <c r="A110" s="33">
        <v>19</v>
      </c>
      <c r="B110" s="1432"/>
      <c r="C110" s="172" t="s">
        <v>714</v>
      </c>
      <c r="D110" s="177"/>
      <c r="E110" s="177"/>
      <c r="F110" s="183">
        <v>28937612</v>
      </c>
      <c r="G110" s="150" t="s">
        <v>683</v>
      </c>
      <c r="H110" s="151" t="s">
        <v>705</v>
      </c>
    </row>
    <row r="111" spans="1:8" ht="15" customHeight="1">
      <c r="A111" s="1445" t="s">
        <v>711</v>
      </c>
      <c r="B111" s="1446"/>
      <c r="C111" s="1446"/>
      <c r="D111" s="1446"/>
      <c r="E111" s="1447"/>
      <c r="F111" s="153">
        <f>SUM(F109:F110)</f>
        <v>43937612</v>
      </c>
      <c r="G111" s="184"/>
      <c r="H111" s="184"/>
    </row>
    <row r="112" spans="1:8">
      <c r="A112" s="1442" t="s">
        <v>174</v>
      </c>
      <c r="B112" s="1443"/>
      <c r="C112" s="1443"/>
      <c r="D112" s="1443"/>
      <c r="E112" s="1444"/>
      <c r="F112" s="181">
        <f>+SUM(F111+F108+F101+F95)</f>
        <v>330934612</v>
      </c>
      <c r="G112" s="33"/>
      <c r="H112" s="33"/>
    </row>
  </sheetData>
  <mergeCells count="25">
    <mergeCell ref="A112:E112"/>
    <mergeCell ref="B109:B110"/>
    <mergeCell ref="A111:E111"/>
    <mergeCell ref="H92:H94"/>
    <mergeCell ref="A95:E95"/>
    <mergeCell ref="B96:B100"/>
    <mergeCell ref="A101:E101"/>
    <mergeCell ref="B102:B107"/>
    <mergeCell ref="A108:E108"/>
    <mergeCell ref="C86:G86"/>
    <mergeCell ref="B88:C88"/>
    <mergeCell ref="B89:B94"/>
    <mergeCell ref="A92:A94"/>
    <mergeCell ref="C92:C94"/>
    <mergeCell ref="G92:G94"/>
    <mergeCell ref="A69:F69"/>
    <mergeCell ref="A83:E83"/>
    <mergeCell ref="A28:F28"/>
    <mergeCell ref="A5:F5"/>
    <mergeCell ref="A15:B15"/>
    <mergeCell ref="A1:G1"/>
    <mergeCell ref="A18:F18"/>
    <mergeCell ref="A24:B24"/>
    <mergeCell ref="A27:F27"/>
    <mergeCell ref="A43:H43"/>
  </mergeCells>
  <hyperlinks>
    <hyperlink ref="B40" r:id="rId1" display="javascript:doHTTPGetLayer('PrintDetail','42737');"/>
  </hyperlinks>
  <pageMargins left="0.7" right="0.7" top="0.75" bottom="0.75" header="0.3" footer="0.3"/>
  <pageSetup paperSize="9" scale="75" orientation="portrait" verticalDpi="0"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74"/>
  <sheetViews>
    <sheetView workbookViewId="0">
      <selection activeCell="K57" sqref="K57"/>
    </sheetView>
  </sheetViews>
  <sheetFormatPr defaultRowHeight="14.25"/>
  <cols>
    <col min="1" max="1" width="6.42578125" customWidth="1"/>
    <col min="2" max="2" width="53.85546875" bestFit="1" customWidth="1"/>
    <col min="3" max="3" width="11.140625" style="447" customWidth="1"/>
    <col min="4" max="4" width="15.42578125" style="436" customWidth="1"/>
    <col min="5" max="5" width="15.28515625" customWidth="1"/>
    <col min="6" max="6" width="14.28515625" customWidth="1"/>
    <col min="9" max="9" width="20.5703125" customWidth="1"/>
  </cols>
  <sheetData>
    <row r="1" spans="1:9" ht="12.75" customHeight="1">
      <c r="A1" s="1460" t="s">
        <v>875</v>
      </c>
      <c r="B1" s="1460"/>
      <c r="C1" s="1460"/>
      <c r="D1" s="1460"/>
      <c r="E1" s="1460"/>
      <c r="F1" s="1460"/>
      <c r="G1" s="1460"/>
      <c r="H1" s="1460"/>
      <c r="I1" s="1460"/>
    </row>
    <row r="2" spans="1:9" ht="42" customHeight="1">
      <c r="B2" s="422"/>
      <c r="C2" s="1470" t="s">
        <v>941</v>
      </c>
      <c r="D2" s="1470"/>
      <c r="E2" s="1465" t="s">
        <v>936</v>
      </c>
      <c r="F2" s="1466"/>
      <c r="G2" s="1466"/>
      <c r="H2" s="1466"/>
      <c r="I2" s="1467"/>
    </row>
    <row r="3" spans="1:9" ht="12.75" customHeight="1">
      <c r="A3" s="1458" t="s">
        <v>1</v>
      </c>
      <c r="B3" s="1458" t="s">
        <v>411</v>
      </c>
      <c r="C3" s="1463" t="s">
        <v>937</v>
      </c>
      <c r="D3" s="1468" t="s">
        <v>938</v>
      </c>
      <c r="E3" s="1458" t="s">
        <v>876</v>
      </c>
      <c r="F3" s="1458" t="s">
        <v>412</v>
      </c>
      <c r="G3" s="1463" t="s">
        <v>877</v>
      </c>
      <c r="H3" s="1458" t="s">
        <v>413</v>
      </c>
      <c r="I3" s="1459" t="s">
        <v>878</v>
      </c>
    </row>
    <row r="4" spans="1:9" ht="29.25" customHeight="1">
      <c r="A4" s="1458"/>
      <c r="B4" s="1458"/>
      <c r="C4" s="1464"/>
      <c r="D4" s="1469"/>
      <c r="E4" s="1462"/>
      <c r="F4" s="1458"/>
      <c r="G4" s="1464"/>
      <c r="H4" s="1458"/>
      <c r="I4" s="1459"/>
    </row>
    <row r="5" spans="1:9">
      <c r="A5" s="1461" t="s">
        <v>879</v>
      </c>
      <c r="B5" s="1461"/>
      <c r="C5" s="1461"/>
      <c r="D5" s="1461"/>
      <c r="E5" s="1461"/>
      <c r="F5" s="1461"/>
      <c r="G5" s="1461"/>
      <c r="H5" s="1461"/>
      <c r="I5" s="1461"/>
    </row>
    <row r="6" spans="1:9">
      <c r="A6" s="286">
        <v>1</v>
      </c>
      <c r="B6" s="285" t="s">
        <v>880</v>
      </c>
      <c r="C6" s="286">
        <v>3</v>
      </c>
      <c r="D6" s="425">
        <v>1536000</v>
      </c>
      <c r="E6" s="286">
        <v>5</v>
      </c>
      <c r="F6" s="285" t="s">
        <v>414</v>
      </c>
      <c r="G6" s="286" t="s">
        <v>415</v>
      </c>
      <c r="H6" s="287">
        <v>16000</v>
      </c>
      <c r="I6" s="385">
        <v>2560000</v>
      </c>
    </row>
    <row r="7" spans="1:9">
      <c r="A7" s="462">
        <v>2</v>
      </c>
      <c r="B7" s="463" t="s">
        <v>881</v>
      </c>
      <c r="C7" s="462">
        <v>184</v>
      </c>
      <c r="D7" s="464">
        <v>129536000</v>
      </c>
      <c r="E7" s="462">
        <v>198</v>
      </c>
      <c r="F7" s="463" t="s">
        <v>414</v>
      </c>
      <c r="G7" s="462" t="s">
        <v>415</v>
      </c>
      <c r="H7" s="465">
        <v>16000</v>
      </c>
      <c r="I7" s="466">
        <v>101376000</v>
      </c>
    </row>
    <row r="8" spans="1:9">
      <c r="A8" s="286">
        <v>3</v>
      </c>
      <c r="B8" s="285" t="s">
        <v>882</v>
      </c>
      <c r="C8" s="286">
        <v>199</v>
      </c>
      <c r="D8" s="425">
        <v>140096000</v>
      </c>
      <c r="E8" s="286">
        <v>303</v>
      </c>
      <c r="F8" s="285" t="s">
        <v>883</v>
      </c>
      <c r="G8" s="286" t="s">
        <v>884</v>
      </c>
      <c r="H8" s="287">
        <v>16000</v>
      </c>
      <c r="I8" s="385">
        <v>213312000</v>
      </c>
    </row>
    <row r="9" spans="1:9">
      <c r="A9" s="457">
        <v>4</v>
      </c>
      <c r="B9" s="458" t="s">
        <v>885</v>
      </c>
      <c r="C9" s="457">
        <v>289</v>
      </c>
      <c r="D9" s="459">
        <v>55488000</v>
      </c>
      <c r="E9" s="457">
        <v>250</v>
      </c>
      <c r="F9" s="458" t="s">
        <v>886</v>
      </c>
      <c r="G9" s="457" t="s">
        <v>417</v>
      </c>
      <c r="H9" s="460">
        <v>16000</v>
      </c>
      <c r="I9" s="461">
        <f>+E9*12*H9</f>
        <v>48000000</v>
      </c>
    </row>
    <row r="10" spans="1:9" ht="12.75" customHeight="1">
      <c r="A10" s="421" t="s">
        <v>887</v>
      </c>
      <c r="B10" s="422"/>
      <c r="C10" s="418">
        <f>+B10+C9+C8+C7+C6</f>
        <v>675</v>
      </c>
      <c r="D10" s="424">
        <f>+D9+D8+D7+D6</f>
        <v>326656000</v>
      </c>
      <c r="E10" s="424">
        <f>+E9+E8+E7+E6</f>
        <v>756</v>
      </c>
      <c r="F10" s="422"/>
      <c r="G10" s="422"/>
      <c r="H10" s="423"/>
      <c r="I10" s="386">
        <f>SUM(I6:I9)</f>
        <v>365248000</v>
      </c>
    </row>
    <row r="11" spans="1:9">
      <c r="A11" s="1475" t="s">
        <v>888</v>
      </c>
      <c r="B11" s="1475"/>
      <c r="C11" s="387"/>
      <c r="D11" s="426"/>
      <c r="E11" s="387"/>
      <c r="F11" s="388"/>
      <c r="G11" s="387"/>
      <c r="H11" s="389"/>
      <c r="I11" s="390"/>
    </row>
    <row r="12" spans="1:9">
      <c r="A12" s="286" t="s">
        <v>889</v>
      </c>
      <c r="B12" s="285" t="s">
        <v>890</v>
      </c>
      <c r="C12" s="286">
        <v>3</v>
      </c>
      <c r="D12" s="425">
        <v>14400000</v>
      </c>
      <c r="E12" s="286">
        <v>5</v>
      </c>
      <c r="F12" s="285" t="s">
        <v>414</v>
      </c>
      <c r="G12" s="286" t="s">
        <v>415</v>
      </c>
      <c r="H12" s="385">
        <v>300000</v>
      </c>
      <c r="I12" s="385">
        <v>12000000</v>
      </c>
    </row>
    <row r="13" spans="1:9">
      <c r="A13" s="462" t="s">
        <v>891</v>
      </c>
      <c r="B13" s="463" t="s">
        <v>892</v>
      </c>
      <c r="C13" s="462">
        <v>184</v>
      </c>
      <c r="D13" s="464">
        <v>446100000</v>
      </c>
      <c r="E13" s="462">
        <v>198</v>
      </c>
      <c r="F13" s="463" t="s">
        <v>414</v>
      </c>
      <c r="G13" s="462" t="s">
        <v>415</v>
      </c>
      <c r="H13" s="466">
        <v>300000</v>
      </c>
      <c r="I13" s="466">
        <v>475200000</v>
      </c>
    </row>
    <row r="14" spans="1:9">
      <c r="A14" s="286" t="s">
        <v>893</v>
      </c>
      <c r="B14" s="285" t="s">
        <v>894</v>
      </c>
      <c r="C14" s="286">
        <v>199</v>
      </c>
      <c r="D14" s="425">
        <v>656700000</v>
      </c>
      <c r="E14" s="286">
        <v>303</v>
      </c>
      <c r="F14" s="285" t="s">
        <v>895</v>
      </c>
      <c r="G14" s="286" t="s">
        <v>884</v>
      </c>
      <c r="H14" s="385">
        <v>300000</v>
      </c>
      <c r="I14" s="385">
        <f>+E14*11*300000</f>
        <v>999900000</v>
      </c>
    </row>
    <row r="15" spans="1:9" ht="12.75" customHeight="1">
      <c r="A15" s="445" t="s">
        <v>887</v>
      </c>
      <c r="B15" s="446"/>
      <c r="C15" s="451"/>
      <c r="D15" s="450">
        <f>+D14+D13+D12</f>
        <v>1117200000</v>
      </c>
      <c r="E15" s="439"/>
      <c r="F15" s="439"/>
      <c r="G15" s="439"/>
      <c r="H15" s="439"/>
      <c r="I15" s="442">
        <f>SUM(I12:I14)</f>
        <v>1487100000</v>
      </c>
    </row>
    <row r="16" spans="1:9">
      <c r="A16" s="1465" t="s">
        <v>896</v>
      </c>
      <c r="B16" s="1476"/>
      <c r="C16" s="1476"/>
      <c r="D16" s="1476"/>
      <c r="E16" s="1476"/>
      <c r="F16" s="1476"/>
      <c r="G16" s="1476"/>
      <c r="H16" s="1477"/>
      <c r="I16" s="386">
        <f>+I15+I10</f>
        <v>1852348000</v>
      </c>
    </row>
    <row r="17" spans="1:9">
      <c r="A17" s="1475" t="s">
        <v>897</v>
      </c>
      <c r="B17" s="1475"/>
      <c r="C17" s="1475"/>
      <c r="D17" s="1475"/>
      <c r="E17" s="1475"/>
      <c r="F17" s="1475"/>
      <c r="G17" s="1475"/>
      <c r="H17" s="1475"/>
      <c r="I17" s="1475"/>
    </row>
    <row r="18" spans="1:9" ht="25.5">
      <c r="A18" s="286">
        <v>1</v>
      </c>
      <c r="B18" s="285" t="s">
        <v>898</v>
      </c>
      <c r="C18" s="286">
        <v>90</v>
      </c>
      <c r="D18" s="425">
        <v>35264000</v>
      </c>
      <c r="E18" s="286">
        <v>174</v>
      </c>
      <c r="F18" s="285" t="s">
        <v>899</v>
      </c>
      <c r="G18" s="285" t="s">
        <v>900</v>
      </c>
      <c r="H18" s="385">
        <v>16000</v>
      </c>
      <c r="I18" s="425">
        <v>35264000</v>
      </c>
    </row>
    <row r="19" spans="1:9" ht="25.5">
      <c r="A19" s="286">
        <v>2</v>
      </c>
      <c r="B19" s="285" t="s">
        <v>901</v>
      </c>
      <c r="C19" s="286">
        <v>90</v>
      </c>
      <c r="D19" s="425">
        <v>124800000</v>
      </c>
      <c r="E19" s="286">
        <v>190</v>
      </c>
      <c r="F19" s="285" t="s">
        <v>886</v>
      </c>
      <c r="G19" s="285" t="s">
        <v>417</v>
      </c>
      <c r="H19" s="385">
        <v>16000</v>
      </c>
      <c r="I19" s="425">
        <v>124800000</v>
      </c>
    </row>
    <row r="20" spans="1:9" ht="25.5">
      <c r="A20" s="286">
        <v>3</v>
      </c>
      <c r="B20" s="285" t="s">
        <v>939</v>
      </c>
      <c r="C20" s="286">
        <v>174</v>
      </c>
      <c r="D20" s="425">
        <v>33408000</v>
      </c>
      <c r="E20" s="286">
        <v>174</v>
      </c>
      <c r="F20" s="285" t="s">
        <v>899</v>
      </c>
      <c r="G20" s="285" t="s">
        <v>900</v>
      </c>
      <c r="H20" s="385">
        <v>300000</v>
      </c>
      <c r="I20" s="425">
        <v>33408000</v>
      </c>
    </row>
    <row r="21" spans="1:9">
      <c r="A21" s="437" t="s">
        <v>902</v>
      </c>
      <c r="B21" s="443"/>
      <c r="C21" s="452"/>
      <c r="D21" s="442">
        <f>+SUM(D18:D20)</f>
        <v>193472000</v>
      </c>
      <c r="E21" s="444"/>
      <c r="F21" s="444"/>
      <c r="G21" s="444"/>
      <c r="H21" s="444"/>
      <c r="I21" s="442">
        <f>+SUM(I18:I20)</f>
        <v>193472000</v>
      </c>
    </row>
    <row r="22" spans="1:9">
      <c r="A22" s="1478" t="s">
        <v>903</v>
      </c>
      <c r="B22" s="1479"/>
      <c r="C22" s="1479"/>
      <c r="D22" s="1479"/>
      <c r="E22" s="1479"/>
      <c r="F22" s="1479"/>
      <c r="G22" s="1479"/>
      <c r="H22" s="1479"/>
      <c r="I22" s="1480"/>
    </row>
    <row r="23" spans="1:9">
      <c r="A23" s="286">
        <v>4</v>
      </c>
      <c r="B23" s="1481" t="s">
        <v>904</v>
      </c>
      <c r="C23" s="1482">
        <v>53</v>
      </c>
      <c r="D23" s="1455">
        <v>5184000</v>
      </c>
      <c r="E23" s="286">
        <v>2</v>
      </c>
      <c r="F23" s="285" t="s">
        <v>886</v>
      </c>
      <c r="G23" s="285" t="s">
        <v>417</v>
      </c>
      <c r="H23" s="385">
        <v>16000</v>
      </c>
      <c r="I23" s="385">
        <f>+E23*H23*12</f>
        <v>384000</v>
      </c>
    </row>
    <row r="24" spans="1:9">
      <c r="A24" s="286">
        <v>5</v>
      </c>
      <c r="B24" s="1481"/>
      <c r="C24" s="1483"/>
      <c r="D24" s="1485"/>
      <c r="E24" s="286">
        <v>5</v>
      </c>
      <c r="F24" s="285" t="s">
        <v>905</v>
      </c>
      <c r="G24" s="285" t="s">
        <v>436</v>
      </c>
      <c r="H24" s="385">
        <v>16000</v>
      </c>
      <c r="I24" s="385">
        <f>+E24*8*16000</f>
        <v>640000</v>
      </c>
    </row>
    <row r="25" spans="1:9">
      <c r="A25" s="286">
        <v>6</v>
      </c>
      <c r="B25" s="1481"/>
      <c r="C25" s="1484"/>
      <c r="D25" s="1456"/>
      <c r="E25" s="286">
        <v>1</v>
      </c>
      <c r="F25" s="285" t="s">
        <v>906</v>
      </c>
      <c r="G25" s="285" t="s">
        <v>422</v>
      </c>
      <c r="H25" s="385">
        <v>16000</v>
      </c>
      <c r="I25" s="385">
        <f>+H25*4</f>
        <v>64000</v>
      </c>
    </row>
    <row r="26" spans="1:9">
      <c r="A26" s="286">
        <v>7</v>
      </c>
      <c r="B26" s="1481" t="s">
        <v>907</v>
      </c>
      <c r="C26" s="1482">
        <v>14</v>
      </c>
      <c r="D26" s="1455">
        <v>8100000</v>
      </c>
      <c r="E26" s="286">
        <v>2</v>
      </c>
      <c r="F26" s="285" t="s">
        <v>886</v>
      </c>
      <c r="G26" s="285" t="s">
        <v>417</v>
      </c>
      <c r="H26" s="385">
        <v>300000</v>
      </c>
      <c r="I26" s="385">
        <f>+H26*E26*3</f>
        <v>1800000</v>
      </c>
    </row>
    <row r="27" spans="1:9">
      <c r="A27" s="286">
        <v>8</v>
      </c>
      <c r="B27" s="1481"/>
      <c r="C27" s="1483"/>
      <c r="D27" s="1485"/>
      <c r="E27" s="286">
        <v>5</v>
      </c>
      <c r="F27" s="285" t="s">
        <v>435</v>
      </c>
      <c r="G27" s="285" t="s">
        <v>436</v>
      </c>
      <c r="H27" s="385">
        <v>300000</v>
      </c>
      <c r="I27" s="385">
        <v>3000000</v>
      </c>
    </row>
    <row r="28" spans="1:9">
      <c r="A28" s="286">
        <v>9</v>
      </c>
      <c r="B28" s="1481"/>
      <c r="C28" s="1484"/>
      <c r="D28" s="1456"/>
      <c r="E28" s="286">
        <v>1</v>
      </c>
      <c r="F28" s="285" t="s">
        <v>906</v>
      </c>
      <c r="G28" s="285" t="s">
        <v>422</v>
      </c>
      <c r="H28" s="385">
        <v>300000</v>
      </c>
      <c r="I28" s="385">
        <v>300000</v>
      </c>
    </row>
    <row r="29" spans="1:9" ht="25.5">
      <c r="A29" s="286">
        <v>10</v>
      </c>
      <c r="B29" s="285" t="s">
        <v>908</v>
      </c>
      <c r="C29" s="286">
        <v>89</v>
      </c>
      <c r="D29" s="425">
        <v>16896000</v>
      </c>
      <c r="E29" s="286">
        <v>110</v>
      </c>
      <c r="F29" s="285" t="s">
        <v>886</v>
      </c>
      <c r="G29" s="285" t="s">
        <v>417</v>
      </c>
      <c r="H29" s="385">
        <v>16000</v>
      </c>
      <c r="I29" s="385">
        <f>+E29*H29*12</f>
        <v>21120000</v>
      </c>
    </row>
    <row r="30" spans="1:9">
      <c r="A30" s="438"/>
      <c r="B30" s="439" t="s">
        <v>472</v>
      </c>
      <c r="C30" s="451">
        <f>+C29+C26+C23</f>
        <v>156</v>
      </c>
      <c r="D30" s="440">
        <f>+D29+D26+D23</f>
        <v>30180000</v>
      </c>
      <c r="E30" s="441"/>
      <c r="F30" s="441"/>
      <c r="G30" s="441"/>
      <c r="H30" s="441"/>
      <c r="I30" s="442">
        <f>SUM(I23:I29)</f>
        <v>27308000</v>
      </c>
    </row>
    <row r="31" spans="1:9">
      <c r="A31" s="1475" t="s">
        <v>909</v>
      </c>
      <c r="B31" s="1475"/>
      <c r="C31" s="1475"/>
      <c r="D31" s="1475"/>
      <c r="E31" s="1475"/>
      <c r="F31" s="1475"/>
      <c r="G31" s="1475"/>
      <c r="H31" s="1475"/>
      <c r="I31" s="1475"/>
    </row>
    <row r="32" spans="1:9" ht="25.5">
      <c r="A32" s="286">
        <v>1</v>
      </c>
      <c r="B32" s="285" t="s">
        <v>910</v>
      </c>
      <c r="C32" s="1482">
        <f>391+96</f>
        <v>487</v>
      </c>
      <c r="D32" s="1455">
        <f>75904000+18432000</f>
        <v>94336000</v>
      </c>
      <c r="E32" s="286">
        <v>20</v>
      </c>
      <c r="F32" s="285" t="s">
        <v>418</v>
      </c>
      <c r="G32" s="285" t="s">
        <v>911</v>
      </c>
      <c r="H32" s="385">
        <v>16000</v>
      </c>
      <c r="I32" s="385">
        <f>+E32*16*H32</f>
        <v>5120000</v>
      </c>
    </row>
    <row r="33" spans="1:9" ht="25.5">
      <c r="A33" s="286">
        <v>2</v>
      </c>
      <c r="B33" s="285" t="s">
        <v>912</v>
      </c>
      <c r="C33" s="1484"/>
      <c r="D33" s="1456"/>
      <c r="E33" s="286">
        <v>683</v>
      </c>
      <c r="F33" s="285" t="s">
        <v>416</v>
      </c>
      <c r="G33" s="285" t="s">
        <v>417</v>
      </c>
      <c r="H33" s="385">
        <v>16000</v>
      </c>
      <c r="I33" s="385">
        <f>683*H33*12</f>
        <v>131136000</v>
      </c>
    </row>
    <row r="34" spans="1:9" ht="25.5">
      <c r="A34" s="286">
        <v>3</v>
      </c>
      <c r="B34" s="285" t="s">
        <v>913</v>
      </c>
      <c r="C34" s="448">
        <v>0</v>
      </c>
      <c r="D34" s="449">
        <v>300000</v>
      </c>
      <c r="E34" s="286">
        <v>20</v>
      </c>
      <c r="F34" s="285" t="s">
        <v>434</v>
      </c>
      <c r="G34" s="285" t="s">
        <v>422</v>
      </c>
      <c r="H34" s="385">
        <v>300000</v>
      </c>
      <c r="I34" s="385">
        <f>+E34*H34</f>
        <v>6000000</v>
      </c>
    </row>
    <row r="35" spans="1:9" ht="25.5">
      <c r="A35" s="286">
        <v>4</v>
      </c>
      <c r="B35" s="285" t="s">
        <v>914</v>
      </c>
      <c r="C35" s="286">
        <v>143</v>
      </c>
      <c r="D35" s="425">
        <v>11360000</v>
      </c>
      <c r="E35" s="286">
        <v>150</v>
      </c>
      <c r="F35" s="285" t="s">
        <v>419</v>
      </c>
      <c r="G35" s="285"/>
      <c r="H35" s="385">
        <v>16000</v>
      </c>
      <c r="I35" s="385">
        <f>+E35*H35*10</f>
        <v>24000000</v>
      </c>
    </row>
    <row r="36" spans="1:9">
      <c r="A36" s="1465" t="s">
        <v>915</v>
      </c>
      <c r="B36" s="1477"/>
      <c r="C36" s="419"/>
      <c r="D36" s="428">
        <f>+D35+D32</f>
        <v>105696000</v>
      </c>
      <c r="E36" s="286">
        <f>+E35+E34+E33+E32</f>
        <v>873</v>
      </c>
      <c r="F36" s="388"/>
      <c r="G36" s="388"/>
      <c r="H36" s="388"/>
      <c r="I36" s="472">
        <v>105696000</v>
      </c>
    </row>
    <row r="37" spans="1:9">
      <c r="A37" s="1457" t="s">
        <v>916</v>
      </c>
      <c r="B37" s="1457"/>
      <c r="C37" s="1457"/>
      <c r="D37" s="1457"/>
      <c r="E37" s="1457"/>
      <c r="F37" s="1457"/>
      <c r="G37" s="1457"/>
      <c r="H37" s="1457"/>
      <c r="I37" s="1457"/>
    </row>
    <row r="38" spans="1:9">
      <c r="A38" s="392">
        <v>1</v>
      </c>
      <c r="B38" s="393" t="s">
        <v>917</v>
      </c>
      <c r="C38" s="295"/>
      <c r="D38" s="429"/>
      <c r="E38" s="295">
        <v>170</v>
      </c>
      <c r="F38" s="393"/>
      <c r="G38" s="393"/>
      <c r="H38" s="393"/>
      <c r="I38" s="394">
        <v>50000000</v>
      </c>
    </row>
    <row r="39" spans="1:9">
      <c r="A39" s="392">
        <v>2</v>
      </c>
      <c r="B39" s="393" t="s">
        <v>918</v>
      </c>
      <c r="C39" s="295"/>
      <c r="D39" s="429"/>
      <c r="E39" s="295">
        <v>120</v>
      </c>
      <c r="F39" s="393"/>
      <c r="G39" s="393"/>
      <c r="H39" s="393"/>
      <c r="I39" s="394">
        <v>15000000</v>
      </c>
    </row>
    <row r="40" spans="1:9">
      <c r="A40" s="392">
        <v>3</v>
      </c>
      <c r="B40" s="393" t="s">
        <v>919</v>
      </c>
      <c r="C40" s="295"/>
      <c r="D40" s="429"/>
      <c r="E40" s="295">
        <v>120</v>
      </c>
      <c r="F40" s="393"/>
      <c r="G40" s="393"/>
      <c r="H40" s="393"/>
      <c r="I40" s="394">
        <v>15000000</v>
      </c>
    </row>
    <row r="41" spans="1:9">
      <c r="A41" s="392">
        <v>4</v>
      </c>
      <c r="B41" s="393" t="s">
        <v>920</v>
      </c>
      <c r="C41" s="295"/>
      <c r="D41" s="429"/>
      <c r="E41" s="295">
        <v>350</v>
      </c>
      <c r="F41" s="393"/>
      <c r="G41" s="393"/>
      <c r="H41" s="393"/>
      <c r="I41" s="394">
        <v>25000000</v>
      </c>
    </row>
    <row r="42" spans="1:9">
      <c r="A42" s="392">
        <v>5</v>
      </c>
      <c r="B42" s="393" t="s">
        <v>921</v>
      </c>
      <c r="C42" s="295"/>
      <c r="D42" s="429"/>
      <c r="E42" s="295">
        <v>32</v>
      </c>
      <c r="F42" s="393"/>
      <c r="G42" s="393"/>
      <c r="H42" s="393"/>
      <c r="I42" s="394">
        <v>18000000</v>
      </c>
    </row>
    <row r="43" spans="1:9">
      <c r="A43" s="392">
        <v>6</v>
      </c>
      <c r="B43" s="393" t="s">
        <v>922</v>
      </c>
      <c r="C43" s="295"/>
      <c r="D43" s="429"/>
      <c r="E43" s="295">
        <v>320</v>
      </c>
      <c r="F43" s="393"/>
      <c r="G43" s="393"/>
      <c r="H43" s="393"/>
      <c r="I43" s="394">
        <v>30000000</v>
      </c>
    </row>
    <row r="44" spans="1:9">
      <c r="A44" s="392">
        <v>7</v>
      </c>
      <c r="B44" s="395" t="s">
        <v>423</v>
      </c>
      <c r="C44" s="410"/>
      <c r="D44" s="430"/>
      <c r="E44" s="295">
        <v>80</v>
      </c>
      <c r="F44" s="393"/>
      <c r="G44" s="393"/>
      <c r="H44" s="393"/>
      <c r="I44" s="394">
        <v>25000000</v>
      </c>
    </row>
    <row r="45" spans="1:9">
      <c r="A45" s="392">
        <v>8</v>
      </c>
      <c r="B45" s="395" t="s">
        <v>923</v>
      </c>
      <c r="C45" s="410"/>
      <c r="D45" s="430"/>
      <c r="E45" s="295">
        <v>120</v>
      </c>
      <c r="F45" s="393"/>
      <c r="G45" s="393"/>
      <c r="H45" s="393"/>
      <c r="I45" s="394">
        <v>15000000</v>
      </c>
    </row>
    <row r="46" spans="1:9">
      <c r="A46" s="392">
        <v>9</v>
      </c>
      <c r="B46" s="396" t="s">
        <v>924</v>
      </c>
      <c r="C46" s="392"/>
      <c r="D46" s="431"/>
      <c r="E46" s="295">
        <v>320</v>
      </c>
      <c r="F46" s="393"/>
      <c r="G46" s="393"/>
      <c r="H46" s="393"/>
      <c r="I46" s="394">
        <v>16000000</v>
      </c>
    </row>
    <row r="47" spans="1:9">
      <c r="A47" s="392">
        <v>10</v>
      </c>
      <c r="B47" s="395" t="s">
        <v>421</v>
      </c>
      <c r="C47" s="410"/>
      <c r="D47" s="430"/>
      <c r="E47" s="295">
        <v>80</v>
      </c>
      <c r="F47" s="393"/>
      <c r="G47" s="393"/>
      <c r="H47" s="393"/>
      <c r="I47" s="394">
        <v>35000000</v>
      </c>
    </row>
    <row r="48" spans="1:9">
      <c r="A48" s="392">
        <v>12</v>
      </c>
      <c r="B48" s="395" t="s">
        <v>925</v>
      </c>
      <c r="C48" s="410"/>
      <c r="D48" s="430"/>
      <c r="E48" s="295">
        <v>320</v>
      </c>
      <c r="F48" s="393"/>
      <c r="G48" s="393"/>
      <c r="H48" s="393"/>
      <c r="I48" s="394">
        <v>20000000</v>
      </c>
    </row>
    <row r="49" spans="1:9">
      <c r="A49" s="392">
        <v>11</v>
      </c>
      <c r="B49" s="396" t="s">
        <v>926</v>
      </c>
      <c r="C49" s="392"/>
      <c r="D49" s="431"/>
      <c r="E49" s="295">
        <v>200</v>
      </c>
      <c r="F49" s="393"/>
      <c r="G49" s="393"/>
      <c r="H49" s="393"/>
      <c r="I49" s="394">
        <v>8000000</v>
      </c>
    </row>
    <row r="50" spans="1:9">
      <c r="A50" s="392">
        <v>12</v>
      </c>
      <c r="B50" s="285" t="s">
        <v>927</v>
      </c>
      <c r="C50" s="286"/>
      <c r="D50" s="425"/>
      <c r="E50" s="295">
        <v>80</v>
      </c>
      <c r="F50" s="393"/>
      <c r="G50" s="393"/>
      <c r="H50" s="393"/>
      <c r="I50" s="394">
        <v>26000000</v>
      </c>
    </row>
    <row r="51" spans="1:9">
      <c r="A51" s="1471" t="s">
        <v>928</v>
      </c>
      <c r="B51" s="1472"/>
      <c r="C51" s="417">
        <v>5000</v>
      </c>
      <c r="D51" s="432">
        <v>310417506</v>
      </c>
      <c r="E51" s="295">
        <f>SUM(E38:E50)</f>
        <v>2312</v>
      </c>
      <c r="F51" s="393"/>
      <c r="G51" s="393"/>
      <c r="H51" s="393"/>
      <c r="I51" s="397">
        <f>SUM(I38:I50)</f>
        <v>298000000</v>
      </c>
    </row>
    <row r="52" spans="1:9">
      <c r="A52" s="1473" t="s">
        <v>420</v>
      </c>
      <c r="B52" s="1473"/>
      <c r="C52" s="1473"/>
      <c r="D52" s="1473"/>
      <c r="E52" s="1473"/>
      <c r="F52" s="1473"/>
      <c r="G52" s="1473"/>
      <c r="H52" s="1473"/>
      <c r="I52" s="1473"/>
    </row>
    <row r="53" spans="1:9">
      <c r="A53" s="392">
        <v>1</v>
      </c>
      <c r="B53" s="393" t="s">
        <v>929</v>
      </c>
      <c r="C53" s="295"/>
      <c r="D53" s="429">
        <v>9500000</v>
      </c>
      <c r="E53" s="393">
        <v>4000</v>
      </c>
      <c r="F53" s="393"/>
      <c r="G53" s="393"/>
      <c r="H53" s="393"/>
      <c r="I53" s="394">
        <v>9500000</v>
      </c>
    </row>
    <row r="54" spans="1:9">
      <c r="A54" s="454"/>
      <c r="B54" s="444" t="s">
        <v>472</v>
      </c>
      <c r="C54" s="452"/>
      <c r="D54" s="455">
        <f>+D53</f>
        <v>9500000</v>
      </c>
      <c r="E54" s="456">
        <f>+E53</f>
        <v>4000</v>
      </c>
      <c r="F54" s="456"/>
      <c r="G54" s="456"/>
      <c r="H54" s="456"/>
      <c r="I54" s="471">
        <f>+I53</f>
        <v>9500000</v>
      </c>
    </row>
    <row r="55" spans="1:9">
      <c r="A55" s="1474" t="s">
        <v>930</v>
      </c>
      <c r="B55" s="1474"/>
      <c r="C55" s="1474"/>
      <c r="D55" s="1474"/>
      <c r="E55" s="1474"/>
      <c r="F55" s="1474"/>
      <c r="G55" s="1474"/>
      <c r="H55" s="1474"/>
      <c r="I55" s="1474"/>
    </row>
    <row r="56" spans="1:9" ht="25.5">
      <c r="A56" s="398"/>
      <c r="B56" s="399" t="s">
        <v>931</v>
      </c>
      <c r="C56" s="453"/>
      <c r="D56" s="433"/>
      <c r="E56" s="400" t="s">
        <v>932</v>
      </c>
      <c r="F56" s="401" t="s">
        <v>933</v>
      </c>
      <c r="G56" s="402"/>
      <c r="H56" s="403"/>
      <c r="I56" s="404"/>
    </row>
    <row r="57" spans="1:9">
      <c r="A57" s="405"/>
      <c r="B57" s="406" t="s">
        <v>930</v>
      </c>
      <c r="C57" s="405"/>
      <c r="D57" s="427">
        <v>451878494</v>
      </c>
      <c r="E57" s="405">
        <v>8</v>
      </c>
      <c r="F57" s="405">
        <v>126</v>
      </c>
      <c r="G57" s="407"/>
      <c r="H57" s="408"/>
      <c r="I57" s="409">
        <v>451878494</v>
      </c>
    </row>
    <row r="58" spans="1:9">
      <c r="A58" s="410"/>
      <c r="B58" s="391" t="s">
        <v>940</v>
      </c>
      <c r="C58" s="410"/>
      <c r="D58" s="427">
        <v>5000000</v>
      </c>
      <c r="E58" s="395"/>
      <c r="F58" s="411"/>
      <c r="G58" s="411"/>
      <c r="H58" s="411"/>
      <c r="I58" s="292">
        <v>5000000</v>
      </c>
    </row>
    <row r="59" spans="1:9">
      <c r="A59" s="410"/>
      <c r="B59" s="391"/>
      <c r="C59" s="410"/>
      <c r="E59" s="395"/>
      <c r="F59" s="411"/>
      <c r="G59" s="411"/>
      <c r="H59" s="411"/>
    </row>
    <row r="60" spans="1:9">
      <c r="A60" s="410"/>
      <c r="B60" s="21" t="s">
        <v>556</v>
      </c>
      <c r="C60" s="21"/>
      <c r="D60" s="434">
        <f>+D58+D57+D54+D51+D36+D30+D21+D15+D10</f>
        <v>2550000000</v>
      </c>
      <c r="E60" s="412"/>
      <c r="F60" s="412"/>
      <c r="G60" s="412"/>
      <c r="H60" s="412"/>
      <c r="I60" s="470">
        <f>+I58+I57+I54+I51+I36+I30+I21+I16</f>
        <v>2943202494</v>
      </c>
    </row>
    <row r="61" spans="1:9">
      <c r="A61" s="413"/>
      <c r="B61" s="390"/>
      <c r="C61" s="420"/>
      <c r="D61" s="435"/>
      <c r="E61" s="390"/>
      <c r="F61" s="390"/>
      <c r="G61" s="390"/>
      <c r="H61" s="414"/>
      <c r="I61" s="293"/>
    </row>
    <row r="62" spans="1:9">
      <c r="A62" s="413"/>
      <c r="B62" s="390"/>
      <c r="C62" s="420"/>
      <c r="D62" s="435"/>
      <c r="E62" s="413"/>
      <c r="F62" s="390"/>
      <c r="G62" s="390"/>
      <c r="H62" s="414"/>
      <c r="I62" s="293"/>
    </row>
    <row r="63" spans="1:9">
      <c r="A63" s="413"/>
      <c r="B63" s="390"/>
      <c r="C63" s="420"/>
      <c r="D63" s="435"/>
      <c r="E63" s="413"/>
      <c r="F63" s="390"/>
      <c r="G63" s="390"/>
      <c r="H63" s="414"/>
      <c r="I63" s="293"/>
    </row>
    <row r="64" spans="1:9">
      <c r="A64" s="413"/>
      <c r="B64" s="390"/>
      <c r="C64" s="420"/>
      <c r="D64" s="435"/>
      <c r="E64" s="415"/>
      <c r="F64" s="390"/>
      <c r="G64" s="390"/>
      <c r="H64" s="390"/>
      <c r="I64" s="416"/>
    </row>
    <row r="65" spans="1:9">
      <c r="A65" s="413"/>
      <c r="B65" s="390"/>
      <c r="C65" s="420"/>
      <c r="D65" s="435"/>
      <c r="E65" s="415"/>
      <c r="F65" s="390"/>
      <c r="G65" s="390"/>
      <c r="H65" s="390"/>
      <c r="I65" s="416"/>
    </row>
    <row r="66" spans="1:9">
      <c r="A66" s="413"/>
      <c r="B66" s="390"/>
      <c r="C66" s="420"/>
      <c r="D66" s="435"/>
      <c r="E66" s="390"/>
      <c r="F66" s="390"/>
      <c r="G66" s="390"/>
      <c r="H66" s="390"/>
      <c r="I66" s="416"/>
    </row>
    <row r="67" spans="1:9">
      <c r="A67" s="413"/>
      <c r="B67" s="390"/>
      <c r="C67" s="420"/>
      <c r="D67" s="435"/>
      <c r="E67" s="390"/>
      <c r="F67" s="390"/>
      <c r="G67" s="390"/>
      <c r="H67" s="390"/>
      <c r="I67" s="416"/>
    </row>
    <row r="68" spans="1:9">
      <c r="A68" s="413"/>
      <c r="B68" s="390"/>
      <c r="C68" s="420"/>
      <c r="D68" s="435"/>
      <c r="E68" s="390"/>
      <c r="F68" s="390"/>
      <c r="G68" s="390"/>
      <c r="H68" s="390"/>
      <c r="I68" s="416"/>
    </row>
    <row r="69" spans="1:9">
      <c r="A69" s="413"/>
      <c r="B69" s="390"/>
      <c r="C69" s="420"/>
      <c r="D69" s="435"/>
      <c r="E69" s="390"/>
      <c r="F69" s="390"/>
      <c r="G69" s="390"/>
      <c r="H69" s="390"/>
      <c r="I69" s="416"/>
    </row>
    <row r="70" spans="1:9">
      <c r="A70" s="413"/>
      <c r="B70" s="390"/>
      <c r="C70" s="420"/>
      <c r="D70" s="435"/>
      <c r="E70" s="390"/>
      <c r="F70" s="390"/>
      <c r="G70" s="390"/>
      <c r="H70" s="390"/>
      <c r="I70" s="416"/>
    </row>
    <row r="71" spans="1:9">
      <c r="A71" s="413"/>
      <c r="B71" s="390"/>
      <c r="C71" s="420"/>
      <c r="D71" s="435"/>
      <c r="E71" s="390"/>
      <c r="F71" s="390"/>
      <c r="G71" s="390"/>
      <c r="H71" s="390"/>
      <c r="I71" s="416"/>
    </row>
    <row r="72" spans="1:9">
      <c r="A72" s="413"/>
      <c r="B72" s="390"/>
      <c r="C72" s="420"/>
      <c r="D72" s="435"/>
      <c r="E72" s="390"/>
      <c r="F72" s="390"/>
      <c r="G72" s="390"/>
      <c r="H72" s="390"/>
      <c r="I72" s="416"/>
    </row>
    <row r="73" spans="1:9">
      <c r="A73" s="413"/>
      <c r="B73" s="390"/>
      <c r="C73" s="420"/>
      <c r="D73" s="435"/>
      <c r="E73" s="390"/>
      <c r="F73" s="390"/>
      <c r="G73" s="390"/>
      <c r="H73" s="390"/>
      <c r="I73" s="416"/>
    </row>
    <row r="74" spans="1:9">
      <c r="A74" s="413"/>
      <c r="B74" s="390"/>
      <c r="C74" s="420"/>
      <c r="D74" s="435"/>
      <c r="E74" s="390"/>
      <c r="F74" s="390"/>
      <c r="G74" s="390"/>
      <c r="H74" s="390"/>
      <c r="I74" s="416"/>
    </row>
  </sheetData>
  <mergeCells count="31">
    <mergeCell ref="A51:B51"/>
    <mergeCell ref="A52:I52"/>
    <mergeCell ref="A55:I55"/>
    <mergeCell ref="A11:B11"/>
    <mergeCell ref="A16:H16"/>
    <mergeCell ref="A31:I31"/>
    <mergeCell ref="A17:I17"/>
    <mergeCell ref="A22:I22"/>
    <mergeCell ref="B26:B28"/>
    <mergeCell ref="A36:B36"/>
    <mergeCell ref="B23:B25"/>
    <mergeCell ref="C26:C28"/>
    <mergeCell ref="D26:D28"/>
    <mergeCell ref="C23:C25"/>
    <mergeCell ref="D23:D25"/>
    <mergeCell ref="C32:C33"/>
    <mergeCell ref="D32:D33"/>
    <mergeCell ref="A37:I37"/>
    <mergeCell ref="H3:H4"/>
    <mergeCell ref="I3:I4"/>
    <mergeCell ref="A1:I1"/>
    <mergeCell ref="A5:I5"/>
    <mergeCell ref="A3:A4"/>
    <mergeCell ref="B3:B4"/>
    <mergeCell ref="E3:E4"/>
    <mergeCell ref="F3:F4"/>
    <mergeCell ref="G3:G4"/>
    <mergeCell ref="E2:I2"/>
    <mergeCell ref="C3:C4"/>
    <mergeCell ref="D3:D4"/>
    <mergeCell ref="C2:D2"/>
  </mergeCells>
  <pageMargins left="0.25" right="0.25" top="0.75" bottom="0.75" header="0.3" footer="0.3"/>
  <pageSetup paperSize="9" scale="90" orientation="landscape"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F31" sqref="F31"/>
    </sheetView>
  </sheetViews>
  <sheetFormatPr defaultRowHeight="13.5"/>
  <cols>
    <col min="1" max="1" width="4.42578125" style="32" customWidth="1"/>
    <col min="2" max="2" width="31.5703125" style="32" customWidth="1"/>
    <col min="3" max="3" width="18.42578125" style="32" customWidth="1"/>
    <col min="4" max="4" width="8.85546875" style="32" customWidth="1"/>
    <col min="5" max="5" width="8.7109375" style="32" customWidth="1"/>
    <col min="6" max="6" width="11.85546875" style="32" customWidth="1"/>
    <col min="7" max="16384" width="9.140625" style="32"/>
  </cols>
  <sheetData>
    <row r="1" spans="1:6">
      <c r="A1" s="71"/>
    </row>
    <row r="2" spans="1:6">
      <c r="A2" s="1486" t="s">
        <v>934</v>
      </c>
      <c r="B2" s="1486"/>
      <c r="C2" s="1486"/>
      <c r="D2" s="1486"/>
      <c r="E2" s="1486"/>
      <c r="F2" s="1486"/>
    </row>
    <row r="3" spans="1:6" ht="24">
      <c r="A3" s="73" t="s">
        <v>1</v>
      </c>
      <c r="B3" s="73" t="s">
        <v>454</v>
      </c>
      <c r="C3" s="73" t="s">
        <v>403</v>
      </c>
      <c r="D3" s="229" t="s">
        <v>327</v>
      </c>
      <c r="E3" s="229" t="s">
        <v>404</v>
      </c>
      <c r="F3" s="73" t="s">
        <v>410</v>
      </c>
    </row>
    <row r="4" spans="1:6">
      <c r="A4" s="1489" t="s">
        <v>455</v>
      </c>
      <c r="B4" s="1489"/>
      <c r="C4" s="1489"/>
      <c r="D4" s="1489"/>
      <c r="E4" s="1489"/>
      <c r="F4" s="1489"/>
    </row>
    <row r="5" spans="1:6" ht="46.5" customHeight="1">
      <c r="A5" s="1488">
        <v>1</v>
      </c>
      <c r="B5" s="1490" t="s">
        <v>456</v>
      </c>
      <c r="C5" s="74" t="s">
        <v>457</v>
      </c>
      <c r="D5" s="75" t="s">
        <v>458</v>
      </c>
      <c r="E5" s="75" t="s">
        <v>489</v>
      </c>
      <c r="F5" s="75" t="s">
        <v>490</v>
      </c>
    </row>
    <row r="6" spans="1:6" ht="46.5" customHeight="1">
      <c r="A6" s="1488"/>
      <c r="B6" s="1491"/>
      <c r="C6" s="74" t="s">
        <v>459</v>
      </c>
      <c r="D6" s="75">
        <v>3</v>
      </c>
      <c r="E6" s="75" t="s">
        <v>491</v>
      </c>
      <c r="F6" s="75" t="s">
        <v>492</v>
      </c>
    </row>
    <row r="7" spans="1:6" ht="46.5" customHeight="1">
      <c r="A7" s="1488"/>
      <c r="B7" s="1492"/>
      <c r="C7" s="74" t="s">
        <v>460</v>
      </c>
      <c r="D7" s="75">
        <v>4</v>
      </c>
      <c r="E7" s="75" t="s">
        <v>493</v>
      </c>
      <c r="F7" s="75" t="s">
        <v>461</v>
      </c>
    </row>
    <row r="8" spans="1:6" ht="46.5" customHeight="1">
      <c r="A8" s="75" t="s">
        <v>462</v>
      </c>
      <c r="B8" s="74" t="s">
        <v>463</v>
      </c>
      <c r="C8" s="74" t="s">
        <v>464</v>
      </c>
      <c r="D8" s="75" t="s">
        <v>465</v>
      </c>
      <c r="E8" s="75" t="s">
        <v>494</v>
      </c>
      <c r="F8" s="75" t="s">
        <v>495</v>
      </c>
    </row>
    <row r="9" spans="1:6" ht="46.5" customHeight="1">
      <c r="A9" s="76"/>
      <c r="B9" s="77" t="s">
        <v>433</v>
      </c>
      <c r="C9" s="76"/>
      <c r="D9" s="76"/>
      <c r="E9" s="76"/>
      <c r="F9" s="77" t="s">
        <v>496</v>
      </c>
    </row>
    <row r="10" spans="1:6" ht="46.5" customHeight="1">
      <c r="A10" s="1493" t="s">
        <v>466</v>
      </c>
      <c r="B10" s="1493"/>
      <c r="C10" s="1493"/>
      <c r="D10" s="1493"/>
      <c r="E10" s="1493"/>
      <c r="F10" s="1493"/>
    </row>
    <row r="11" spans="1:6" ht="46.5" customHeight="1">
      <c r="A11" s="75">
        <v>1</v>
      </c>
      <c r="B11" s="74" t="s">
        <v>467</v>
      </c>
      <c r="C11" s="75">
        <v>1</v>
      </c>
      <c r="D11" s="75">
        <v>5</v>
      </c>
      <c r="E11" s="75" t="s">
        <v>497</v>
      </c>
      <c r="F11" s="75" t="s">
        <v>498</v>
      </c>
    </row>
    <row r="12" spans="1:6" ht="46.5" customHeight="1">
      <c r="A12" s="75">
        <v>2</v>
      </c>
      <c r="B12" s="74" t="s">
        <v>468</v>
      </c>
      <c r="C12" s="75">
        <v>1</v>
      </c>
      <c r="D12" s="75">
        <v>5</v>
      </c>
      <c r="E12" s="75" t="s">
        <v>469</v>
      </c>
      <c r="F12" s="75" t="s">
        <v>470</v>
      </c>
    </row>
    <row r="13" spans="1:6" ht="46.5" customHeight="1">
      <c r="A13" s="75">
        <v>2</v>
      </c>
      <c r="B13" s="74" t="s">
        <v>471</v>
      </c>
      <c r="C13" s="75">
        <v>1</v>
      </c>
      <c r="D13" s="75">
        <v>5</v>
      </c>
      <c r="E13" s="75" t="s">
        <v>499</v>
      </c>
      <c r="F13" s="75" t="s">
        <v>500</v>
      </c>
    </row>
    <row r="14" spans="1:6" ht="46.5" customHeight="1">
      <c r="A14" s="76"/>
      <c r="B14" s="78" t="s">
        <v>472</v>
      </c>
      <c r="C14" s="76"/>
      <c r="D14" s="76"/>
      <c r="E14" s="76"/>
      <c r="F14" s="77" t="s">
        <v>487</v>
      </c>
    </row>
    <row r="15" spans="1:6" ht="46.5" customHeight="1">
      <c r="A15" s="1493" t="s">
        <v>473</v>
      </c>
      <c r="B15" s="1493"/>
      <c r="C15" s="1493"/>
      <c r="D15" s="1493"/>
      <c r="E15" s="1493"/>
      <c r="F15" s="1493"/>
    </row>
    <row r="16" spans="1:6" ht="46.5" customHeight="1">
      <c r="A16" s="75">
        <v>1</v>
      </c>
      <c r="B16" s="74" t="s">
        <v>474</v>
      </c>
      <c r="C16" s="75" t="s">
        <v>475</v>
      </c>
      <c r="D16" s="75">
        <v>38</v>
      </c>
      <c r="E16" s="75" t="s">
        <v>499</v>
      </c>
      <c r="F16" s="75" t="s">
        <v>501</v>
      </c>
    </row>
    <row r="17" spans="1:6" ht="46.5" customHeight="1">
      <c r="A17" s="1487"/>
      <c r="B17" s="74" t="s">
        <v>476</v>
      </c>
      <c r="C17" s="1488" t="s">
        <v>478</v>
      </c>
      <c r="D17" s="1488" t="s">
        <v>479</v>
      </c>
      <c r="E17" s="1488" t="s">
        <v>502</v>
      </c>
      <c r="F17" s="1488" t="s">
        <v>503</v>
      </c>
    </row>
    <row r="18" spans="1:6" ht="46.5" customHeight="1">
      <c r="A18" s="1487"/>
      <c r="B18" s="74" t="s">
        <v>477</v>
      </c>
      <c r="C18" s="1488"/>
      <c r="D18" s="1488"/>
      <c r="E18" s="1488"/>
      <c r="F18" s="1488"/>
    </row>
    <row r="19" spans="1:6" ht="46.5" customHeight="1">
      <c r="A19" s="1487"/>
      <c r="B19" s="74" t="s">
        <v>480</v>
      </c>
      <c r="C19" s="1488" t="s">
        <v>481</v>
      </c>
      <c r="D19" s="1488" t="s">
        <v>482</v>
      </c>
      <c r="E19" s="1488" t="s">
        <v>504</v>
      </c>
      <c r="F19" s="1488" t="s">
        <v>505</v>
      </c>
    </row>
    <row r="20" spans="1:6" ht="46.5" customHeight="1">
      <c r="A20" s="1487"/>
      <c r="B20" s="74" t="s">
        <v>506</v>
      </c>
      <c r="C20" s="1488"/>
      <c r="D20" s="1488"/>
      <c r="E20" s="1488"/>
      <c r="F20" s="1488"/>
    </row>
    <row r="21" spans="1:6" ht="46.5" customHeight="1">
      <c r="A21" s="79"/>
      <c r="B21" s="74" t="s">
        <v>483</v>
      </c>
      <c r="C21" s="75" t="s">
        <v>481</v>
      </c>
      <c r="D21" s="75" t="s">
        <v>484</v>
      </c>
      <c r="E21" s="75" t="s">
        <v>485</v>
      </c>
      <c r="F21" s="75" t="s">
        <v>486</v>
      </c>
    </row>
    <row r="22" spans="1:6" ht="46.5" customHeight="1">
      <c r="A22" s="76"/>
      <c r="B22" s="78" t="s">
        <v>472</v>
      </c>
      <c r="C22" s="76"/>
      <c r="D22" s="76"/>
      <c r="E22" s="76"/>
      <c r="F22" s="77" t="s">
        <v>488</v>
      </c>
    </row>
  </sheetData>
  <mergeCells count="16">
    <mergeCell ref="A19:A20"/>
    <mergeCell ref="C19:C20"/>
    <mergeCell ref="D19:D20"/>
    <mergeCell ref="E19:E20"/>
    <mergeCell ref="F19:F20"/>
    <mergeCell ref="A2:F2"/>
    <mergeCell ref="A17:A18"/>
    <mergeCell ref="C17:C18"/>
    <mergeCell ref="D17:D18"/>
    <mergeCell ref="E17:E18"/>
    <mergeCell ref="F17:F18"/>
    <mergeCell ref="A4:F4"/>
    <mergeCell ref="A5:A7"/>
    <mergeCell ref="B5:B7"/>
    <mergeCell ref="A10:F10"/>
    <mergeCell ref="A15:F15"/>
  </mergeCells>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workbookViewId="0">
      <selection activeCell="K8" sqref="K8"/>
    </sheetView>
  </sheetViews>
  <sheetFormatPr defaultRowHeight="14.25"/>
  <cols>
    <col min="1" max="1" width="4.28515625" style="205" customWidth="1"/>
    <col min="2" max="2" width="17.28515625" style="205" customWidth="1"/>
    <col min="3" max="3" width="15.140625" style="205" customWidth="1"/>
    <col min="4" max="4" width="14.7109375" style="205" customWidth="1"/>
    <col min="5" max="5" width="15.5703125" style="231" customWidth="1"/>
    <col min="6" max="6" width="14.85546875" style="231" customWidth="1"/>
    <col min="7" max="16384" width="9.140625" style="205"/>
  </cols>
  <sheetData>
    <row r="1" spans="1:6" ht="33" customHeight="1">
      <c r="A1" s="1494" t="s">
        <v>523</v>
      </c>
      <c r="B1" s="1494"/>
      <c r="C1" s="1494"/>
      <c r="D1" s="1494"/>
      <c r="E1" s="1494"/>
      <c r="F1" s="1494"/>
    </row>
    <row r="2" spans="1:6" ht="15">
      <c r="A2" s="90" t="s">
        <v>782</v>
      </c>
      <c r="B2" s="19"/>
      <c r="C2" s="19"/>
      <c r="D2" s="19"/>
      <c r="E2" s="91"/>
      <c r="F2" s="91"/>
    </row>
    <row r="3" spans="1:6" ht="28.5">
      <c r="A3" s="204" t="s">
        <v>1</v>
      </c>
      <c r="B3" s="204" t="s">
        <v>338</v>
      </c>
      <c r="C3" s="92" t="s">
        <v>403</v>
      </c>
      <c r="D3" s="204" t="s">
        <v>315</v>
      </c>
      <c r="E3" s="93" t="s">
        <v>166</v>
      </c>
      <c r="F3" s="93" t="s">
        <v>179</v>
      </c>
    </row>
    <row r="4" spans="1:6">
      <c r="A4" s="202">
        <v>1</v>
      </c>
      <c r="B4" s="17" t="s">
        <v>524</v>
      </c>
      <c r="C4" s="202" t="s">
        <v>525</v>
      </c>
      <c r="D4" s="202" t="s">
        <v>526</v>
      </c>
      <c r="E4" s="93">
        <v>23000</v>
      </c>
      <c r="F4" s="93">
        <v>92000</v>
      </c>
    </row>
    <row r="5" spans="1:6">
      <c r="A5" s="202">
        <v>2</v>
      </c>
      <c r="B5" s="17" t="s">
        <v>527</v>
      </c>
      <c r="C5" s="202" t="s">
        <v>528</v>
      </c>
      <c r="D5" s="202" t="s">
        <v>529</v>
      </c>
      <c r="E5" s="93">
        <v>35000</v>
      </c>
      <c r="F5" s="93">
        <v>490000</v>
      </c>
    </row>
    <row r="6" spans="1:6">
      <c r="A6" s="202">
        <v>3</v>
      </c>
      <c r="B6" s="17" t="s">
        <v>530</v>
      </c>
      <c r="C6" s="202" t="s">
        <v>531</v>
      </c>
      <c r="D6" s="202" t="s">
        <v>529</v>
      </c>
      <c r="E6" s="93">
        <v>14000</v>
      </c>
      <c r="F6" s="93">
        <v>196000</v>
      </c>
    </row>
    <row r="7" spans="1:6">
      <c r="A7" s="202">
        <v>4</v>
      </c>
      <c r="B7" s="17" t="s">
        <v>532</v>
      </c>
      <c r="C7" s="202"/>
      <c r="D7" s="202">
        <v>2</v>
      </c>
      <c r="E7" s="93">
        <v>50000</v>
      </c>
      <c r="F7" s="93">
        <v>100000</v>
      </c>
    </row>
    <row r="8" spans="1:6">
      <c r="A8" s="1256" t="s">
        <v>174</v>
      </c>
      <c r="B8" s="1256"/>
      <c r="C8" s="1256"/>
      <c r="D8" s="1256"/>
      <c r="E8" s="1256"/>
      <c r="F8" s="93">
        <f>SUM(F4:F7)</f>
        <v>878000</v>
      </c>
    </row>
    <row r="9" spans="1:6">
      <c r="A9" s="230"/>
    </row>
    <row r="10" spans="1:6" ht="15">
      <c r="A10" s="90" t="s">
        <v>783</v>
      </c>
      <c r="B10" s="19"/>
      <c r="C10" s="19"/>
      <c r="D10" s="19"/>
      <c r="E10" s="91"/>
      <c r="F10" s="91"/>
    </row>
    <row r="11" spans="1:6" ht="28.5">
      <c r="A11" s="204" t="s">
        <v>1</v>
      </c>
      <c r="B11" s="204" t="s">
        <v>338</v>
      </c>
      <c r="C11" s="92" t="s">
        <v>403</v>
      </c>
      <c r="D11" s="204" t="s">
        <v>315</v>
      </c>
      <c r="E11" s="93" t="s">
        <v>166</v>
      </c>
      <c r="F11" s="93" t="s">
        <v>179</v>
      </c>
    </row>
    <row r="12" spans="1:6">
      <c r="A12" s="202">
        <v>1</v>
      </c>
      <c r="B12" s="17" t="s">
        <v>524</v>
      </c>
      <c r="C12" s="202" t="s">
        <v>525</v>
      </c>
      <c r="D12" s="202" t="s">
        <v>526</v>
      </c>
      <c r="E12" s="93">
        <v>226640</v>
      </c>
      <c r="F12" s="94">
        <f>4*E12</f>
        <v>906560</v>
      </c>
    </row>
    <row r="13" spans="1:6">
      <c r="A13" s="202">
        <v>2</v>
      </c>
      <c r="B13" s="17" t="s">
        <v>527</v>
      </c>
      <c r="C13" s="202" t="s">
        <v>528</v>
      </c>
      <c r="D13" s="202" t="s">
        <v>533</v>
      </c>
      <c r="E13" s="93">
        <v>35000</v>
      </c>
      <c r="F13" s="94">
        <v>560000</v>
      </c>
    </row>
    <row r="14" spans="1:6">
      <c r="A14" s="202">
        <v>3</v>
      </c>
      <c r="B14" s="17" t="s">
        <v>530</v>
      </c>
      <c r="C14" s="202" t="s">
        <v>531</v>
      </c>
      <c r="D14" s="202" t="s">
        <v>533</v>
      </c>
      <c r="E14" s="93">
        <v>14000</v>
      </c>
      <c r="F14" s="94">
        <v>224000</v>
      </c>
    </row>
    <row r="15" spans="1:6">
      <c r="A15" s="202">
        <v>4</v>
      </c>
      <c r="B15" s="17" t="s">
        <v>532</v>
      </c>
      <c r="C15" s="202" t="s">
        <v>534</v>
      </c>
      <c r="D15" s="202" t="s">
        <v>535</v>
      </c>
      <c r="E15" s="93">
        <v>8000</v>
      </c>
      <c r="F15" s="93">
        <v>800000</v>
      </c>
    </row>
    <row r="16" spans="1:6">
      <c r="A16" s="1256" t="s">
        <v>174</v>
      </c>
      <c r="B16" s="1256"/>
      <c r="C16" s="1256"/>
      <c r="D16" s="1256"/>
      <c r="E16" s="1256"/>
      <c r="F16" s="93">
        <f>SUM(F12:F15)</f>
        <v>2490560</v>
      </c>
    </row>
    <row r="17" spans="1:6">
      <c r="A17" s="230"/>
    </row>
    <row r="18" spans="1:6" ht="15">
      <c r="A18" s="90" t="s">
        <v>784</v>
      </c>
      <c r="B18" s="19"/>
      <c r="C18" s="19"/>
      <c r="D18" s="19"/>
      <c r="E18" s="91"/>
      <c r="F18" s="91"/>
    </row>
    <row r="19" spans="1:6" ht="28.5">
      <c r="A19" s="204" t="s">
        <v>1</v>
      </c>
      <c r="B19" s="204" t="s">
        <v>338</v>
      </c>
      <c r="C19" s="92" t="s">
        <v>403</v>
      </c>
      <c r="D19" s="204" t="s">
        <v>315</v>
      </c>
      <c r="E19" s="93" t="s">
        <v>166</v>
      </c>
      <c r="F19" s="93" t="s">
        <v>179</v>
      </c>
    </row>
    <row r="20" spans="1:6">
      <c r="A20" s="202">
        <v>1</v>
      </c>
      <c r="B20" s="17" t="s">
        <v>524</v>
      </c>
      <c r="C20" s="202" t="s">
        <v>525</v>
      </c>
      <c r="D20" s="202" t="s">
        <v>526</v>
      </c>
      <c r="E20" s="93">
        <v>27000</v>
      </c>
      <c r="F20" s="94">
        <v>108000</v>
      </c>
    </row>
    <row r="21" spans="1:6">
      <c r="A21" s="202">
        <v>2</v>
      </c>
      <c r="B21" s="17" t="s">
        <v>527</v>
      </c>
      <c r="C21" s="202" t="s">
        <v>528</v>
      </c>
      <c r="D21" s="202" t="s">
        <v>533</v>
      </c>
      <c r="E21" s="93">
        <v>35000</v>
      </c>
      <c r="F21" s="94">
        <v>560000</v>
      </c>
    </row>
    <row r="22" spans="1:6">
      <c r="A22" s="202">
        <v>3</v>
      </c>
      <c r="B22" s="17" t="s">
        <v>530</v>
      </c>
      <c r="C22" s="202" t="s">
        <v>531</v>
      </c>
      <c r="D22" s="202" t="s">
        <v>533</v>
      </c>
      <c r="E22" s="93">
        <v>14000</v>
      </c>
      <c r="F22" s="94">
        <v>224000</v>
      </c>
    </row>
    <row r="23" spans="1:6">
      <c r="A23" s="202">
        <v>4</v>
      </c>
      <c r="B23" s="17" t="s">
        <v>532</v>
      </c>
      <c r="C23" s="202"/>
      <c r="D23" s="202">
        <v>2</v>
      </c>
      <c r="E23" s="93">
        <v>50000</v>
      </c>
      <c r="F23" s="93">
        <v>100000</v>
      </c>
    </row>
    <row r="24" spans="1:6">
      <c r="A24" s="1256" t="s">
        <v>174</v>
      </c>
      <c r="B24" s="1256"/>
      <c r="C24" s="1256"/>
      <c r="D24" s="1256"/>
      <c r="E24" s="1256"/>
      <c r="F24" s="94">
        <f>SUM(F20:F23)</f>
        <v>992000</v>
      </c>
    </row>
    <row r="25" spans="1:6">
      <c r="A25" s="230"/>
    </row>
    <row r="26" spans="1:6" ht="15">
      <c r="A26" s="90" t="s">
        <v>785</v>
      </c>
      <c r="B26" s="19"/>
      <c r="C26" s="19"/>
      <c r="D26" s="19"/>
      <c r="E26" s="91"/>
      <c r="F26" s="91"/>
    </row>
    <row r="27" spans="1:6" ht="28.5">
      <c r="A27" s="204" t="s">
        <v>1</v>
      </c>
      <c r="B27" s="204" t="s">
        <v>338</v>
      </c>
      <c r="C27" s="92" t="s">
        <v>403</v>
      </c>
      <c r="D27" s="204" t="s">
        <v>315</v>
      </c>
      <c r="E27" s="93" t="s">
        <v>166</v>
      </c>
      <c r="F27" s="93" t="s">
        <v>179</v>
      </c>
    </row>
    <row r="28" spans="1:6">
      <c r="A28" s="202">
        <v>1</v>
      </c>
      <c r="B28" s="17" t="s">
        <v>524</v>
      </c>
      <c r="C28" s="202" t="s">
        <v>525</v>
      </c>
      <c r="D28" s="202" t="s">
        <v>526</v>
      </c>
      <c r="E28" s="93">
        <v>16500</v>
      </c>
      <c r="F28" s="94">
        <v>66000</v>
      </c>
    </row>
    <row r="29" spans="1:6">
      <c r="A29" s="202">
        <v>2</v>
      </c>
      <c r="B29" s="17" t="s">
        <v>527</v>
      </c>
      <c r="C29" s="202" t="s">
        <v>528</v>
      </c>
      <c r="D29" s="202" t="s">
        <v>536</v>
      </c>
      <c r="E29" s="93">
        <v>35000</v>
      </c>
      <c r="F29" s="94">
        <v>280000</v>
      </c>
    </row>
    <row r="30" spans="1:6">
      <c r="A30" s="202">
        <v>3</v>
      </c>
      <c r="B30" s="17" t="s">
        <v>530</v>
      </c>
      <c r="C30" s="202" t="s">
        <v>531</v>
      </c>
      <c r="D30" s="202" t="s">
        <v>536</v>
      </c>
      <c r="E30" s="93">
        <v>14000</v>
      </c>
      <c r="F30" s="94">
        <v>112000</v>
      </c>
    </row>
    <row r="31" spans="1:6">
      <c r="A31" s="202">
        <v>4</v>
      </c>
      <c r="B31" s="17" t="s">
        <v>532</v>
      </c>
      <c r="C31" s="202"/>
      <c r="D31" s="202">
        <v>2</v>
      </c>
      <c r="E31" s="93">
        <v>50000</v>
      </c>
      <c r="F31" s="93">
        <v>100000</v>
      </c>
    </row>
    <row r="32" spans="1:6">
      <c r="A32" s="1256" t="s">
        <v>174</v>
      </c>
      <c r="B32" s="1256"/>
      <c r="C32" s="1256"/>
      <c r="D32" s="1256"/>
      <c r="E32" s="1256"/>
      <c r="F32" s="94">
        <f>SUM(F28:F31)</f>
        <v>558000</v>
      </c>
    </row>
    <row r="33" spans="1:6">
      <c r="A33" s="230"/>
    </row>
    <row r="34" spans="1:6" ht="15">
      <c r="A34" s="90" t="s">
        <v>786</v>
      </c>
      <c r="B34" s="19"/>
      <c r="C34" s="19"/>
      <c r="D34" s="19"/>
      <c r="E34" s="91"/>
      <c r="F34" s="91"/>
    </row>
    <row r="35" spans="1:6" ht="28.5">
      <c r="A35" s="204" t="s">
        <v>1</v>
      </c>
      <c r="B35" s="204" t="s">
        <v>338</v>
      </c>
      <c r="C35" s="92" t="s">
        <v>403</v>
      </c>
      <c r="D35" s="204" t="s">
        <v>315</v>
      </c>
      <c r="E35" s="93" t="s">
        <v>166</v>
      </c>
      <c r="F35" s="93" t="s">
        <v>179</v>
      </c>
    </row>
    <row r="36" spans="1:6">
      <c r="A36" s="202">
        <v>1</v>
      </c>
      <c r="B36" s="17" t="s">
        <v>524</v>
      </c>
      <c r="C36" s="202" t="s">
        <v>525</v>
      </c>
      <c r="D36" s="202" t="s">
        <v>526</v>
      </c>
      <c r="E36" s="93">
        <v>6500</v>
      </c>
      <c r="F36" s="94">
        <v>26000</v>
      </c>
    </row>
    <row r="37" spans="1:6">
      <c r="A37" s="202">
        <v>2</v>
      </c>
      <c r="B37" s="17" t="s">
        <v>527</v>
      </c>
      <c r="C37" s="202" t="s">
        <v>528</v>
      </c>
      <c r="D37" s="202" t="s">
        <v>537</v>
      </c>
      <c r="E37" s="93">
        <v>35000</v>
      </c>
      <c r="F37" s="94">
        <v>350000</v>
      </c>
    </row>
    <row r="38" spans="1:6">
      <c r="A38" s="202">
        <v>3</v>
      </c>
      <c r="B38" s="17" t="s">
        <v>530</v>
      </c>
      <c r="C38" s="202" t="s">
        <v>531</v>
      </c>
      <c r="D38" s="202" t="s">
        <v>537</v>
      </c>
      <c r="E38" s="93">
        <v>14000</v>
      </c>
      <c r="F38" s="94">
        <v>140000</v>
      </c>
    </row>
    <row r="39" spans="1:6">
      <c r="A39" s="202">
        <v>4</v>
      </c>
      <c r="B39" s="17" t="s">
        <v>532</v>
      </c>
      <c r="C39" s="202"/>
      <c r="D39" s="202">
        <v>2</v>
      </c>
      <c r="E39" s="93">
        <v>50000</v>
      </c>
      <c r="F39" s="93">
        <v>100000</v>
      </c>
    </row>
    <row r="40" spans="1:6">
      <c r="A40" s="1256" t="s">
        <v>174</v>
      </c>
      <c r="B40" s="1256"/>
      <c r="C40" s="1256"/>
      <c r="D40" s="1256"/>
      <c r="E40" s="1256"/>
      <c r="F40" s="94">
        <f>SUM(F36:F39)</f>
        <v>616000</v>
      </c>
    </row>
    <row r="41" spans="1:6">
      <c r="A41" s="230"/>
    </row>
    <row r="42" spans="1:6" ht="15">
      <c r="A42" s="90" t="s">
        <v>787</v>
      </c>
      <c r="B42" s="19"/>
      <c r="C42" s="19"/>
      <c r="D42" s="19"/>
      <c r="E42" s="91"/>
      <c r="F42" s="91"/>
    </row>
    <row r="43" spans="1:6" ht="28.5">
      <c r="A43" s="204" t="s">
        <v>1</v>
      </c>
      <c r="B43" s="204" t="s">
        <v>338</v>
      </c>
      <c r="C43" s="92" t="s">
        <v>403</v>
      </c>
      <c r="D43" s="204" t="s">
        <v>315</v>
      </c>
      <c r="E43" s="93" t="s">
        <v>166</v>
      </c>
      <c r="F43" s="93" t="s">
        <v>179</v>
      </c>
    </row>
    <row r="44" spans="1:6">
      <c r="A44" s="202">
        <v>1</v>
      </c>
      <c r="B44" s="17" t="s">
        <v>524</v>
      </c>
      <c r="C44" s="202" t="s">
        <v>525</v>
      </c>
      <c r="D44" s="202" t="s">
        <v>526</v>
      </c>
      <c r="E44" s="93">
        <v>174510</v>
      </c>
      <c r="F44" s="94">
        <f>4*E44</f>
        <v>698040</v>
      </c>
    </row>
    <row r="45" spans="1:6">
      <c r="A45" s="202">
        <v>2</v>
      </c>
      <c r="B45" s="17" t="s">
        <v>527</v>
      </c>
      <c r="C45" s="202" t="s">
        <v>528</v>
      </c>
      <c r="D45" s="202" t="s">
        <v>538</v>
      </c>
      <c r="E45" s="93">
        <v>35000</v>
      </c>
      <c r="F45" s="94">
        <v>420000</v>
      </c>
    </row>
    <row r="46" spans="1:6">
      <c r="A46" s="202">
        <v>3</v>
      </c>
      <c r="B46" s="17" t="s">
        <v>530</v>
      </c>
      <c r="C46" s="202" t="s">
        <v>531</v>
      </c>
      <c r="D46" s="202" t="s">
        <v>538</v>
      </c>
      <c r="E46" s="93">
        <v>14000</v>
      </c>
      <c r="F46" s="94">
        <v>168000</v>
      </c>
    </row>
    <row r="47" spans="1:6">
      <c r="A47" s="202">
        <v>4</v>
      </c>
      <c r="B47" s="17" t="s">
        <v>532</v>
      </c>
      <c r="C47" s="202" t="s">
        <v>539</v>
      </c>
      <c r="D47" s="202" t="s">
        <v>535</v>
      </c>
      <c r="E47" s="93">
        <v>8000</v>
      </c>
      <c r="F47" s="93">
        <v>800000</v>
      </c>
    </row>
    <row r="48" spans="1:6">
      <c r="A48" s="1256" t="s">
        <v>174</v>
      </c>
      <c r="B48" s="1256"/>
      <c r="C48" s="1256"/>
      <c r="D48" s="1256"/>
      <c r="E48" s="1256"/>
      <c r="F48" s="94">
        <f>SUM(F44:F47)</f>
        <v>2086040</v>
      </c>
    </row>
    <row r="49" spans="1:6">
      <c r="A49" s="232"/>
    </row>
    <row r="50" spans="1:6" ht="15">
      <c r="A50" s="90" t="s">
        <v>788</v>
      </c>
      <c r="B50" s="19"/>
      <c r="C50" s="19"/>
      <c r="D50" s="19"/>
      <c r="E50" s="91"/>
      <c r="F50" s="91"/>
    </row>
    <row r="51" spans="1:6" ht="28.5">
      <c r="A51" s="204" t="s">
        <v>1</v>
      </c>
      <c r="B51" s="204" t="s">
        <v>338</v>
      </c>
      <c r="C51" s="92" t="s">
        <v>403</v>
      </c>
      <c r="D51" s="204" t="s">
        <v>315</v>
      </c>
      <c r="E51" s="93" t="s">
        <v>166</v>
      </c>
      <c r="F51" s="93" t="s">
        <v>179</v>
      </c>
    </row>
    <row r="52" spans="1:6">
      <c r="A52" s="202">
        <v>1</v>
      </c>
      <c r="B52" s="17" t="s">
        <v>524</v>
      </c>
      <c r="C52" s="202" t="s">
        <v>525</v>
      </c>
      <c r="D52" s="202" t="s">
        <v>526</v>
      </c>
      <c r="E52" s="93">
        <v>15700</v>
      </c>
      <c r="F52" s="94">
        <v>62800</v>
      </c>
    </row>
    <row r="53" spans="1:6">
      <c r="A53" s="202">
        <v>2</v>
      </c>
      <c r="B53" s="17" t="s">
        <v>527</v>
      </c>
      <c r="C53" s="202" t="s">
        <v>528</v>
      </c>
      <c r="D53" s="202" t="s">
        <v>540</v>
      </c>
      <c r="E53" s="93">
        <v>35000</v>
      </c>
      <c r="F53" s="94">
        <v>630000</v>
      </c>
    </row>
    <row r="54" spans="1:6">
      <c r="A54" s="202">
        <v>3</v>
      </c>
      <c r="B54" s="17" t="s">
        <v>530</v>
      </c>
      <c r="C54" s="202" t="s">
        <v>531</v>
      </c>
      <c r="D54" s="202" t="s">
        <v>540</v>
      </c>
      <c r="E54" s="93">
        <v>16000</v>
      </c>
      <c r="F54" s="94">
        <v>288000</v>
      </c>
    </row>
    <row r="55" spans="1:6">
      <c r="A55" s="202">
        <v>4</v>
      </c>
      <c r="B55" s="17" t="s">
        <v>532</v>
      </c>
      <c r="C55" s="202"/>
      <c r="D55" s="202">
        <v>2</v>
      </c>
      <c r="E55" s="93">
        <v>50000</v>
      </c>
      <c r="F55" s="93">
        <v>100000</v>
      </c>
    </row>
    <row r="56" spans="1:6">
      <c r="A56" s="1256" t="s">
        <v>174</v>
      </c>
      <c r="B56" s="1256"/>
      <c r="C56" s="1256"/>
      <c r="D56" s="1256"/>
      <c r="E56" s="1256"/>
      <c r="F56" s="94">
        <f>SUM(F52:F55)</f>
        <v>1080800</v>
      </c>
    </row>
    <row r="57" spans="1:6">
      <c r="A57" s="230"/>
    </row>
    <row r="58" spans="1:6" ht="15">
      <c r="A58" s="90" t="s">
        <v>789</v>
      </c>
      <c r="B58" s="19"/>
      <c r="C58" s="19"/>
      <c r="D58" s="19"/>
      <c r="E58" s="91"/>
      <c r="F58" s="91"/>
    </row>
    <row r="59" spans="1:6" ht="28.5">
      <c r="A59" s="204" t="s">
        <v>1</v>
      </c>
      <c r="B59" s="204" t="s">
        <v>338</v>
      </c>
      <c r="C59" s="92" t="s">
        <v>403</v>
      </c>
      <c r="D59" s="204" t="s">
        <v>315</v>
      </c>
      <c r="E59" s="93" t="s">
        <v>166</v>
      </c>
      <c r="F59" s="93" t="s">
        <v>179</v>
      </c>
    </row>
    <row r="60" spans="1:6">
      <c r="A60" s="202">
        <v>1</v>
      </c>
      <c r="B60" s="17" t="s">
        <v>524</v>
      </c>
      <c r="C60" s="202" t="s">
        <v>525</v>
      </c>
      <c r="D60" s="202" t="s">
        <v>526</v>
      </c>
      <c r="E60" s="93">
        <v>155650</v>
      </c>
      <c r="F60" s="94">
        <f>4*E60</f>
        <v>622600</v>
      </c>
    </row>
    <row r="61" spans="1:6">
      <c r="A61" s="202">
        <v>2</v>
      </c>
      <c r="B61" s="17" t="s">
        <v>527</v>
      </c>
      <c r="C61" s="202" t="s">
        <v>528</v>
      </c>
      <c r="D61" s="202" t="s">
        <v>538</v>
      </c>
      <c r="E61" s="93">
        <v>35000</v>
      </c>
      <c r="F61" s="94">
        <v>420000</v>
      </c>
    </row>
    <row r="62" spans="1:6">
      <c r="A62" s="202">
        <v>3</v>
      </c>
      <c r="B62" s="17" t="s">
        <v>530</v>
      </c>
      <c r="C62" s="202" t="s">
        <v>531</v>
      </c>
      <c r="D62" s="202" t="s">
        <v>538</v>
      </c>
      <c r="E62" s="93">
        <v>14000</v>
      </c>
      <c r="F62" s="94">
        <v>168000</v>
      </c>
    </row>
    <row r="63" spans="1:6">
      <c r="A63" s="202">
        <v>4</v>
      </c>
      <c r="B63" s="17" t="s">
        <v>532</v>
      </c>
      <c r="C63" s="202" t="s">
        <v>534</v>
      </c>
      <c r="D63" s="202" t="s">
        <v>535</v>
      </c>
      <c r="E63" s="93">
        <v>8000</v>
      </c>
      <c r="F63" s="93">
        <v>800000</v>
      </c>
    </row>
    <row r="64" spans="1:6">
      <c r="A64" s="1256" t="s">
        <v>174</v>
      </c>
      <c r="B64" s="1256"/>
      <c r="C64" s="1256"/>
      <c r="D64" s="1256"/>
      <c r="E64" s="1256"/>
      <c r="F64" s="94">
        <f>SUM(F60:F63)</f>
        <v>2010600</v>
      </c>
    </row>
    <row r="65" spans="1:6">
      <c r="A65" s="230"/>
    </row>
    <row r="66" spans="1:6" ht="15">
      <c r="A66" s="90" t="s">
        <v>790</v>
      </c>
      <c r="B66" s="19"/>
      <c r="C66" s="19"/>
      <c r="D66" s="19"/>
      <c r="E66" s="91"/>
      <c r="F66" s="91"/>
    </row>
    <row r="67" spans="1:6" ht="28.5">
      <c r="A67" s="204" t="s">
        <v>1</v>
      </c>
      <c r="B67" s="204" t="s">
        <v>338</v>
      </c>
      <c r="C67" s="92" t="s">
        <v>403</v>
      </c>
      <c r="D67" s="204" t="s">
        <v>315</v>
      </c>
      <c r="E67" s="93" t="s">
        <v>166</v>
      </c>
      <c r="F67" s="93" t="s">
        <v>179</v>
      </c>
    </row>
    <row r="68" spans="1:6">
      <c r="A68" s="202">
        <v>1</v>
      </c>
      <c r="B68" s="17" t="s">
        <v>524</v>
      </c>
      <c r="C68" s="202" t="s">
        <v>525</v>
      </c>
      <c r="D68" s="202" t="s">
        <v>526</v>
      </c>
      <c r="E68" s="93">
        <v>28700</v>
      </c>
      <c r="F68" s="94">
        <v>114800</v>
      </c>
    </row>
    <row r="69" spans="1:6">
      <c r="A69" s="202">
        <v>2</v>
      </c>
      <c r="B69" s="17" t="s">
        <v>527</v>
      </c>
      <c r="C69" s="202" t="s">
        <v>528</v>
      </c>
      <c r="D69" s="202" t="s">
        <v>529</v>
      </c>
      <c r="E69" s="93">
        <v>35000</v>
      </c>
      <c r="F69" s="94">
        <v>490000</v>
      </c>
    </row>
    <row r="70" spans="1:6">
      <c r="A70" s="202">
        <v>3</v>
      </c>
      <c r="B70" s="17" t="s">
        <v>530</v>
      </c>
      <c r="C70" s="202" t="s">
        <v>531</v>
      </c>
      <c r="D70" s="202" t="s">
        <v>529</v>
      </c>
      <c r="E70" s="93">
        <v>14000</v>
      </c>
      <c r="F70" s="94">
        <v>196000</v>
      </c>
    </row>
    <row r="71" spans="1:6">
      <c r="A71" s="202">
        <v>4</v>
      </c>
      <c r="B71" s="17" t="s">
        <v>532</v>
      </c>
      <c r="C71" s="202"/>
      <c r="D71" s="202">
        <v>2</v>
      </c>
      <c r="E71" s="93">
        <v>50000</v>
      </c>
      <c r="F71" s="93">
        <v>100000</v>
      </c>
    </row>
    <row r="72" spans="1:6">
      <c r="A72" s="1256" t="s">
        <v>174</v>
      </c>
      <c r="B72" s="1256"/>
      <c r="C72" s="1256"/>
      <c r="D72" s="1256"/>
      <c r="E72" s="1256"/>
      <c r="F72" s="94">
        <f>SUM(F68:F71)</f>
        <v>900800</v>
      </c>
    </row>
    <row r="73" spans="1:6">
      <c r="A73" s="230"/>
    </row>
    <row r="74" spans="1:6" ht="15">
      <c r="A74" s="90" t="s">
        <v>791</v>
      </c>
      <c r="B74" s="19"/>
      <c r="C74" s="19"/>
      <c r="D74" s="19"/>
      <c r="E74" s="91"/>
      <c r="F74" s="91"/>
    </row>
    <row r="75" spans="1:6" ht="28.5">
      <c r="A75" s="204" t="s">
        <v>1</v>
      </c>
      <c r="B75" s="204" t="s">
        <v>338</v>
      </c>
      <c r="C75" s="92" t="s">
        <v>403</v>
      </c>
      <c r="D75" s="204" t="s">
        <v>315</v>
      </c>
      <c r="E75" s="93" t="s">
        <v>166</v>
      </c>
      <c r="F75" s="93" t="s">
        <v>179</v>
      </c>
    </row>
    <row r="76" spans="1:6">
      <c r="A76" s="202">
        <v>1</v>
      </c>
      <c r="B76" s="17" t="s">
        <v>524</v>
      </c>
      <c r="C76" s="202" t="s">
        <v>525</v>
      </c>
      <c r="D76" s="202" t="s">
        <v>526</v>
      </c>
      <c r="E76" s="93">
        <v>12000</v>
      </c>
      <c r="F76" s="94">
        <v>48000</v>
      </c>
    </row>
    <row r="77" spans="1:6">
      <c r="A77" s="202">
        <v>2</v>
      </c>
      <c r="B77" s="17" t="s">
        <v>527</v>
      </c>
      <c r="C77" s="202" t="s">
        <v>528</v>
      </c>
      <c r="D77" s="202" t="s">
        <v>529</v>
      </c>
      <c r="E77" s="93">
        <v>35000</v>
      </c>
      <c r="F77" s="94">
        <v>490000</v>
      </c>
    </row>
    <row r="78" spans="1:6">
      <c r="A78" s="202">
        <v>3</v>
      </c>
      <c r="B78" s="17" t="s">
        <v>530</v>
      </c>
      <c r="C78" s="202" t="s">
        <v>531</v>
      </c>
      <c r="D78" s="202" t="s">
        <v>529</v>
      </c>
      <c r="E78" s="93">
        <v>14000</v>
      </c>
      <c r="F78" s="94">
        <v>196000</v>
      </c>
    </row>
    <row r="79" spans="1:6">
      <c r="A79" s="202">
        <v>4</v>
      </c>
      <c r="B79" s="17" t="s">
        <v>532</v>
      </c>
      <c r="C79" s="202"/>
      <c r="D79" s="202">
        <v>2</v>
      </c>
      <c r="E79" s="93">
        <v>50000</v>
      </c>
      <c r="F79" s="93">
        <v>100000</v>
      </c>
    </row>
    <row r="80" spans="1:6">
      <c r="A80" s="1256" t="s">
        <v>174</v>
      </c>
      <c r="B80" s="1256"/>
      <c r="C80" s="1256"/>
      <c r="D80" s="1256"/>
      <c r="E80" s="1256"/>
      <c r="F80" s="94">
        <f>SUM(F76:F79)</f>
        <v>834000</v>
      </c>
    </row>
    <row r="81" spans="1:6">
      <c r="A81" s="230"/>
    </row>
    <row r="82" spans="1:6" ht="15">
      <c r="A82" s="90" t="s">
        <v>792</v>
      </c>
      <c r="B82" s="19"/>
      <c r="C82" s="19"/>
      <c r="D82" s="19"/>
      <c r="E82" s="91"/>
      <c r="F82" s="91"/>
    </row>
    <row r="83" spans="1:6" ht="28.5">
      <c r="A83" s="204" t="s">
        <v>1</v>
      </c>
      <c r="B83" s="204" t="s">
        <v>338</v>
      </c>
      <c r="C83" s="92" t="s">
        <v>403</v>
      </c>
      <c r="D83" s="204" t="s">
        <v>315</v>
      </c>
      <c r="E83" s="93" t="s">
        <v>166</v>
      </c>
      <c r="F83" s="93" t="s">
        <v>179</v>
      </c>
    </row>
    <row r="84" spans="1:6">
      <c r="A84" s="202">
        <v>1</v>
      </c>
      <c r="B84" s="17" t="s">
        <v>524</v>
      </c>
      <c r="C84" s="202" t="s">
        <v>525</v>
      </c>
      <c r="D84" s="202" t="s">
        <v>526</v>
      </c>
      <c r="E84" s="93">
        <v>170880</v>
      </c>
      <c r="F84" s="94">
        <f>4*E84</f>
        <v>683520</v>
      </c>
    </row>
    <row r="85" spans="1:6">
      <c r="A85" s="202">
        <v>2</v>
      </c>
      <c r="B85" s="17" t="s">
        <v>527</v>
      </c>
      <c r="C85" s="202" t="s">
        <v>528</v>
      </c>
      <c r="D85" s="202" t="s">
        <v>538</v>
      </c>
      <c r="E85" s="93">
        <v>35000</v>
      </c>
      <c r="F85" s="94">
        <v>420000</v>
      </c>
    </row>
    <row r="86" spans="1:6">
      <c r="A86" s="202">
        <v>3</v>
      </c>
      <c r="B86" s="17" t="s">
        <v>530</v>
      </c>
      <c r="C86" s="202" t="s">
        <v>531</v>
      </c>
      <c r="D86" s="202" t="s">
        <v>538</v>
      </c>
      <c r="E86" s="93">
        <v>14000</v>
      </c>
      <c r="F86" s="94">
        <v>168000</v>
      </c>
    </row>
    <row r="87" spans="1:6">
      <c r="A87" s="202">
        <v>4</v>
      </c>
      <c r="B87" s="17" t="s">
        <v>532</v>
      </c>
      <c r="C87" s="202" t="s">
        <v>534</v>
      </c>
      <c r="D87" s="202" t="s">
        <v>535</v>
      </c>
      <c r="E87" s="93">
        <v>8000</v>
      </c>
      <c r="F87" s="93">
        <v>800000</v>
      </c>
    </row>
    <row r="88" spans="1:6">
      <c r="A88" s="1256" t="s">
        <v>174</v>
      </c>
      <c r="B88" s="1256"/>
      <c r="C88" s="1256"/>
      <c r="D88" s="1256"/>
      <c r="E88" s="1256"/>
      <c r="F88" s="94">
        <f>SUM(F84:F87)</f>
        <v>2071520</v>
      </c>
    </row>
    <row r="89" spans="1:6">
      <c r="A89" s="230"/>
    </row>
    <row r="90" spans="1:6" ht="15">
      <c r="A90" s="90" t="s">
        <v>793</v>
      </c>
      <c r="B90" s="19"/>
      <c r="C90" s="19"/>
      <c r="D90" s="19"/>
      <c r="E90" s="91"/>
      <c r="F90" s="91"/>
    </row>
    <row r="91" spans="1:6" ht="28.5">
      <c r="A91" s="204" t="s">
        <v>1</v>
      </c>
      <c r="B91" s="204" t="s">
        <v>338</v>
      </c>
      <c r="C91" s="92" t="s">
        <v>403</v>
      </c>
      <c r="D91" s="204" t="s">
        <v>315</v>
      </c>
      <c r="E91" s="93" t="s">
        <v>166</v>
      </c>
      <c r="F91" s="93" t="s">
        <v>179</v>
      </c>
    </row>
    <row r="92" spans="1:6">
      <c r="A92" s="202">
        <v>1</v>
      </c>
      <c r="B92" s="17" t="s">
        <v>524</v>
      </c>
      <c r="C92" s="202" t="s">
        <v>525</v>
      </c>
      <c r="D92" s="202" t="s">
        <v>526</v>
      </c>
      <c r="E92" s="93">
        <v>13600</v>
      </c>
      <c r="F92" s="94">
        <v>54400</v>
      </c>
    </row>
    <row r="93" spans="1:6">
      <c r="A93" s="202">
        <v>2</v>
      </c>
      <c r="B93" s="17" t="s">
        <v>527</v>
      </c>
      <c r="C93" s="202" t="s">
        <v>528</v>
      </c>
      <c r="D93" s="202" t="s">
        <v>537</v>
      </c>
      <c r="E93" s="93">
        <v>35000</v>
      </c>
      <c r="F93" s="94">
        <v>350000</v>
      </c>
    </row>
    <row r="94" spans="1:6">
      <c r="A94" s="202">
        <v>3</v>
      </c>
      <c r="B94" s="17" t="s">
        <v>530</v>
      </c>
      <c r="C94" s="202" t="s">
        <v>531</v>
      </c>
      <c r="D94" s="202" t="s">
        <v>537</v>
      </c>
      <c r="E94" s="93">
        <v>16000</v>
      </c>
      <c r="F94" s="94">
        <v>160000</v>
      </c>
    </row>
    <row r="95" spans="1:6">
      <c r="A95" s="202">
        <v>4</v>
      </c>
      <c r="B95" s="17" t="s">
        <v>532</v>
      </c>
      <c r="C95" s="202"/>
      <c r="D95" s="202">
        <v>2</v>
      </c>
      <c r="E95" s="93">
        <v>50000</v>
      </c>
      <c r="F95" s="93">
        <v>100000</v>
      </c>
    </row>
    <row r="96" spans="1:6">
      <c r="A96" s="1256" t="s">
        <v>174</v>
      </c>
      <c r="B96" s="1256"/>
      <c r="C96" s="1256"/>
      <c r="D96" s="1256"/>
      <c r="E96" s="1256"/>
      <c r="F96" s="94">
        <f>SUM(F92:F95)</f>
        <v>664400</v>
      </c>
    </row>
    <row r="97" spans="1:6">
      <c r="A97" s="230"/>
    </row>
    <row r="98" spans="1:6" ht="15">
      <c r="A98" s="90" t="s">
        <v>794</v>
      </c>
      <c r="B98" s="19"/>
      <c r="C98" s="19"/>
      <c r="D98" s="19"/>
      <c r="E98" s="91"/>
      <c r="F98" s="91"/>
    </row>
    <row r="99" spans="1:6" ht="28.5">
      <c r="A99" s="204" t="s">
        <v>1</v>
      </c>
      <c r="B99" s="204" t="s">
        <v>338</v>
      </c>
      <c r="C99" s="92" t="s">
        <v>403</v>
      </c>
      <c r="D99" s="204" t="s">
        <v>315</v>
      </c>
      <c r="E99" s="93" t="s">
        <v>166</v>
      </c>
      <c r="F99" s="93" t="s">
        <v>179</v>
      </c>
    </row>
    <row r="100" spans="1:6">
      <c r="A100" s="202">
        <v>1</v>
      </c>
      <c r="B100" s="17" t="s">
        <v>524</v>
      </c>
      <c r="C100" s="202" t="s">
        <v>525</v>
      </c>
      <c r="D100" s="202" t="s">
        <v>526</v>
      </c>
      <c r="E100" s="93">
        <v>20000</v>
      </c>
      <c r="F100" s="94">
        <v>80000</v>
      </c>
    </row>
    <row r="101" spans="1:6">
      <c r="A101" s="202">
        <v>2</v>
      </c>
      <c r="B101" s="17" t="s">
        <v>527</v>
      </c>
      <c r="C101" s="202" t="s">
        <v>528</v>
      </c>
      <c r="D101" s="202" t="s">
        <v>541</v>
      </c>
      <c r="E101" s="93">
        <v>35000</v>
      </c>
      <c r="F101" s="94">
        <v>770000</v>
      </c>
    </row>
    <row r="102" spans="1:6">
      <c r="A102" s="202">
        <v>3</v>
      </c>
      <c r="B102" s="17" t="s">
        <v>530</v>
      </c>
      <c r="C102" s="202" t="s">
        <v>531</v>
      </c>
      <c r="D102" s="202" t="s">
        <v>541</v>
      </c>
      <c r="E102" s="93">
        <v>14000</v>
      </c>
      <c r="F102" s="94">
        <v>308000</v>
      </c>
    </row>
    <row r="103" spans="1:6">
      <c r="A103" s="202">
        <v>4</v>
      </c>
      <c r="B103" s="17" t="s">
        <v>532</v>
      </c>
      <c r="C103" s="202"/>
      <c r="D103" s="202">
        <v>2</v>
      </c>
      <c r="E103" s="93">
        <v>50000</v>
      </c>
      <c r="F103" s="93">
        <v>100000</v>
      </c>
    </row>
    <row r="104" spans="1:6">
      <c r="A104" s="1256" t="s">
        <v>174</v>
      </c>
      <c r="B104" s="1256"/>
      <c r="C104" s="1256"/>
      <c r="D104" s="1256"/>
      <c r="E104" s="1256"/>
      <c r="F104" s="94">
        <f>SUM(F100:F103)</f>
        <v>1258000</v>
      </c>
    </row>
    <row r="105" spans="1:6">
      <c r="A105" s="230"/>
    </row>
    <row r="106" spans="1:6" ht="15">
      <c r="A106" s="90" t="s">
        <v>795</v>
      </c>
      <c r="B106" s="19"/>
      <c r="C106" s="19"/>
      <c r="D106" s="19"/>
      <c r="E106" s="91"/>
      <c r="F106" s="91"/>
    </row>
    <row r="107" spans="1:6" ht="28.5">
      <c r="A107" s="20" t="s">
        <v>1</v>
      </c>
      <c r="B107" s="204" t="s">
        <v>338</v>
      </c>
      <c r="C107" s="92" t="s">
        <v>403</v>
      </c>
      <c r="D107" s="204" t="s">
        <v>315</v>
      </c>
      <c r="E107" s="93" t="s">
        <v>166</v>
      </c>
      <c r="F107" s="93" t="s">
        <v>179</v>
      </c>
    </row>
    <row r="108" spans="1:6">
      <c r="A108" s="204">
        <v>1</v>
      </c>
      <c r="B108" s="95" t="s">
        <v>524</v>
      </c>
      <c r="C108" s="204" t="s">
        <v>525</v>
      </c>
      <c r="D108" s="202" t="s">
        <v>526</v>
      </c>
      <c r="E108" s="93">
        <v>251000</v>
      </c>
      <c r="F108" s="94">
        <v>1004000</v>
      </c>
    </row>
    <row r="109" spans="1:6">
      <c r="A109" s="204">
        <v>2</v>
      </c>
      <c r="B109" s="95" t="s">
        <v>527</v>
      </c>
      <c r="C109" s="204" t="s">
        <v>528</v>
      </c>
      <c r="D109" s="204" t="s">
        <v>542</v>
      </c>
      <c r="E109" s="93">
        <v>35000</v>
      </c>
      <c r="F109" s="94">
        <v>700000</v>
      </c>
    </row>
    <row r="110" spans="1:6">
      <c r="A110" s="204">
        <v>3</v>
      </c>
      <c r="B110" s="95" t="s">
        <v>530</v>
      </c>
      <c r="C110" s="204" t="s">
        <v>531</v>
      </c>
      <c r="D110" s="204" t="s">
        <v>542</v>
      </c>
      <c r="E110" s="93">
        <v>14000</v>
      </c>
      <c r="F110" s="94">
        <v>280000</v>
      </c>
    </row>
    <row r="111" spans="1:6">
      <c r="A111" s="204">
        <v>4</v>
      </c>
      <c r="B111" s="95" t="s">
        <v>532</v>
      </c>
      <c r="C111" s="204" t="s">
        <v>534</v>
      </c>
      <c r="D111" s="204" t="s">
        <v>535</v>
      </c>
      <c r="E111" s="93">
        <v>8000</v>
      </c>
      <c r="F111" s="93">
        <v>800000</v>
      </c>
    </row>
    <row r="112" spans="1:6">
      <c r="A112" s="1495" t="s">
        <v>174</v>
      </c>
      <c r="B112" s="1495"/>
      <c r="C112" s="1495"/>
      <c r="D112" s="1495"/>
      <c r="E112" s="1495"/>
      <c r="F112" s="94">
        <f>SUM(F108:F111)</f>
        <v>2784000</v>
      </c>
    </row>
    <row r="113" spans="1:6">
      <c r="A113" s="230"/>
    </row>
    <row r="114" spans="1:6" ht="15">
      <c r="A114" s="90" t="s">
        <v>796</v>
      </c>
      <c r="B114" s="19"/>
      <c r="C114" s="19"/>
      <c r="D114" s="19"/>
      <c r="E114" s="91"/>
      <c r="F114" s="91"/>
    </row>
    <row r="115" spans="1:6" ht="28.5">
      <c r="A115" s="204" t="s">
        <v>1</v>
      </c>
      <c r="B115" s="204" t="s">
        <v>338</v>
      </c>
      <c r="C115" s="92" t="s">
        <v>403</v>
      </c>
      <c r="D115" s="204" t="s">
        <v>315</v>
      </c>
      <c r="E115" s="93" t="s">
        <v>166</v>
      </c>
      <c r="F115" s="93" t="s">
        <v>179</v>
      </c>
    </row>
    <row r="116" spans="1:6">
      <c r="A116" s="202">
        <v>1</v>
      </c>
      <c r="B116" s="17" t="s">
        <v>524</v>
      </c>
      <c r="C116" s="202" t="s">
        <v>525</v>
      </c>
      <c r="D116" s="202" t="s">
        <v>526</v>
      </c>
      <c r="E116" s="93">
        <v>25400</v>
      </c>
      <c r="F116" s="94">
        <v>101600</v>
      </c>
    </row>
    <row r="117" spans="1:6">
      <c r="A117" s="202">
        <v>2</v>
      </c>
      <c r="B117" s="17" t="s">
        <v>527</v>
      </c>
      <c r="C117" s="202" t="s">
        <v>528</v>
      </c>
      <c r="D117" s="202" t="s">
        <v>529</v>
      </c>
      <c r="E117" s="93">
        <v>35000</v>
      </c>
      <c r="F117" s="94">
        <v>490000</v>
      </c>
    </row>
    <row r="118" spans="1:6">
      <c r="A118" s="202">
        <v>3</v>
      </c>
      <c r="B118" s="17" t="s">
        <v>530</v>
      </c>
      <c r="C118" s="202" t="s">
        <v>531</v>
      </c>
      <c r="D118" s="202" t="s">
        <v>529</v>
      </c>
      <c r="E118" s="93">
        <v>14000</v>
      </c>
      <c r="F118" s="94">
        <v>196000</v>
      </c>
    </row>
    <row r="119" spans="1:6">
      <c r="A119" s="202">
        <v>4</v>
      </c>
      <c r="B119" s="17" t="s">
        <v>532</v>
      </c>
      <c r="C119" s="202"/>
      <c r="D119" s="202">
        <v>2</v>
      </c>
      <c r="E119" s="93">
        <v>50000</v>
      </c>
      <c r="F119" s="93">
        <v>100000</v>
      </c>
    </row>
    <row r="120" spans="1:6">
      <c r="A120" s="1256" t="s">
        <v>174</v>
      </c>
      <c r="B120" s="1256"/>
      <c r="C120" s="1256"/>
      <c r="D120" s="1256"/>
      <c r="E120" s="1256"/>
      <c r="F120" s="94">
        <f>SUM(F116:F119)</f>
        <v>887600</v>
      </c>
    </row>
    <row r="121" spans="1:6">
      <c r="A121" s="230"/>
    </row>
    <row r="122" spans="1:6" ht="15">
      <c r="A122" s="90" t="s">
        <v>797</v>
      </c>
      <c r="B122" s="19"/>
      <c r="C122" s="19"/>
      <c r="D122" s="19"/>
      <c r="E122" s="91"/>
      <c r="F122" s="91"/>
    </row>
    <row r="123" spans="1:6" ht="28.5">
      <c r="A123" s="204" t="s">
        <v>1</v>
      </c>
      <c r="B123" s="204" t="s">
        <v>338</v>
      </c>
      <c r="C123" s="92" t="s">
        <v>403</v>
      </c>
      <c r="D123" s="204" t="s">
        <v>315</v>
      </c>
      <c r="E123" s="93" t="s">
        <v>166</v>
      </c>
      <c r="F123" s="93" t="s">
        <v>179</v>
      </c>
    </row>
    <row r="124" spans="1:6">
      <c r="A124" s="202">
        <v>1</v>
      </c>
      <c r="B124" s="17" t="s">
        <v>524</v>
      </c>
      <c r="C124" s="202" t="s">
        <v>525</v>
      </c>
      <c r="D124" s="202" t="s">
        <v>526</v>
      </c>
      <c r="E124" s="93">
        <v>26500</v>
      </c>
      <c r="F124" s="94">
        <v>106000</v>
      </c>
    </row>
    <row r="125" spans="1:6">
      <c r="A125" s="202">
        <v>2</v>
      </c>
      <c r="B125" s="17" t="s">
        <v>527</v>
      </c>
      <c r="C125" s="202" t="s">
        <v>528</v>
      </c>
      <c r="D125" s="202" t="s">
        <v>538</v>
      </c>
      <c r="E125" s="93">
        <v>35000</v>
      </c>
      <c r="F125" s="94">
        <v>420000</v>
      </c>
    </row>
    <row r="126" spans="1:6">
      <c r="A126" s="202">
        <v>3</v>
      </c>
      <c r="B126" s="17" t="s">
        <v>530</v>
      </c>
      <c r="C126" s="202" t="s">
        <v>531</v>
      </c>
      <c r="D126" s="202" t="s">
        <v>538</v>
      </c>
      <c r="E126" s="93">
        <v>14000</v>
      </c>
      <c r="F126" s="94">
        <v>168000</v>
      </c>
    </row>
    <row r="127" spans="1:6">
      <c r="A127" s="202">
        <v>4</v>
      </c>
      <c r="B127" s="17" t="s">
        <v>532</v>
      </c>
      <c r="C127" s="202"/>
      <c r="D127" s="202">
        <v>2</v>
      </c>
      <c r="E127" s="93">
        <v>50000</v>
      </c>
      <c r="F127" s="93">
        <v>100000</v>
      </c>
    </row>
    <row r="128" spans="1:6">
      <c r="A128" s="1256" t="s">
        <v>174</v>
      </c>
      <c r="B128" s="1256"/>
      <c r="C128" s="1256"/>
      <c r="D128" s="1256"/>
      <c r="E128" s="1256"/>
      <c r="F128" s="94">
        <f>SUM(F124:F127)</f>
        <v>794000</v>
      </c>
    </row>
    <row r="129" spans="1:6">
      <c r="A129" s="230"/>
    </row>
    <row r="130" spans="1:6" ht="15">
      <c r="A130" s="90" t="s">
        <v>798</v>
      </c>
      <c r="B130" s="19"/>
      <c r="C130" s="19"/>
      <c r="D130" s="19"/>
      <c r="E130" s="91"/>
      <c r="F130" s="91"/>
    </row>
    <row r="131" spans="1:6" ht="28.5">
      <c r="A131" s="204" t="s">
        <v>1</v>
      </c>
      <c r="B131" s="204" t="s">
        <v>338</v>
      </c>
      <c r="C131" s="92" t="s">
        <v>403</v>
      </c>
      <c r="D131" s="204" t="s">
        <v>315</v>
      </c>
      <c r="E131" s="93" t="s">
        <v>166</v>
      </c>
      <c r="F131" s="93" t="s">
        <v>179</v>
      </c>
    </row>
    <row r="132" spans="1:6">
      <c r="A132" s="202">
        <v>1</v>
      </c>
      <c r="B132" s="17" t="s">
        <v>524</v>
      </c>
      <c r="C132" s="202" t="s">
        <v>525</v>
      </c>
      <c r="D132" s="202" t="s">
        <v>526</v>
      </c>
      <c r="E132" s="93">
        <v>2000</v>
      </c>
      <c r="F132" s="94">
        <v>8000</v>
      </c>
    </row>
    <row r="133" spans="1:6">
      <c r="A133" s="202">
        <v>2</v>
      </c>
      <c r="B133" s="17" t="s">
        <v>527</v>
      </c>
      <c r="C133" s="202" t="s">
        <v>528</v>
      </c>
      <c r="D133" s="202" t="s">
        <v>538</v>
      </c>
      <c r="E133" s="93">
        <v>35000</v>
      </c>
      <c r="F133" s="94">
        <v>420000</v>
      </c>
    </row>
    <row r="134" spans="1:6">
      <c r="A134" s="202">
        <v>3</v>
      </c>
      <c r="B134" s="17" t="s">
        <v>530</v>
      </c>
      <c r="C134" s="202" t="s">
        <v>531</v>
      </c>
      <c r="D134" s="202" t="s">
        <v>538</v>
      </c>
      <c r="E134" s="93">
        <v>14000</v>
      </c>
      <c r="F134" s="94">
        <v>168000</v>
      </c>
    </row>
    <row r="135" spans="1:6">
      <c r="A135" s="202">
        <v>4</v>
      </c>
      <c r="B135" s="17" t="s">
        <v>532</v>
      </c>
      <c r="C135" s="202"/>
      <c r="D135" s="202">
        <v>2</v>
      </c>
      <c r="E135" s="93">
        <v>50000</v>
      </c>
      <c r="F135" s="93">
        <v>100000</v>
      </c>
    </row>
    <row r="136" spans="1:6">
      <c r="A136" s="1256" t="s">
        <v>174</v>
      </c>
      <c r="B136" s="1256"/>
      <c r="C136" s="1256"/>
      <c r="D136" s="1256"/>
      <c r="E136" s="1256"/>
      <c r="F136" s="94">
        <f>SUM(F132:F135)</f>
        <v>696000</v>
      </c>
    </row>
    <row r="137" spans="1:6">
      <c r="A137" s="230"/>
    </row>
    <row r="138" spans="1:6" ht="15">
      <c r="A138" s="90" t="s">
        <v>799</v>
      </c>
      <c r="B138" s="19"/>
      <c r="C138" s="19"/>
      <c r="D138" s="19"/>
      <c r="E138" s="91"/>
      <c r="F138" s="91"/>
    </row>
    <row r="139" spans="1:6" ht="28.5">
      <c r="A139" s="204" t="s">
        <v>1</v>
      </c>
      <c r="B139" s="204" t="s">
        <v>338</v>
      </c>
      <c r="C139" s="92" t="s">
        <v>403</v>
      </c>
      <c r="D139" s="204" t="s">
        <v>315</v>
      </c>
      <c r="E139" s="93" t="s">
        <v>166</v>
      </c>
      <c r="F139" s="93" t="s">
        <v>179</v>
      </c>
    </row>
    <row r="140" spans="1:6">
      <c r="A140" s="202">
        <v>1</v>
      </c>
      <c r="B140" s="17" t="s">
        <v>524</v>
      </c>
      <c r="C140" s="202" t="s">
        <v>525</v>
      </c>
      <c r="D140" s="202" t="s">
        <v>526</v>
      </c>
      <c r="E140" s="93">
        <v>176330</v>
      </c>
      <c r="F140" s="94">
        <f>4*E140</f>
        <v>705320</v>
      </c>
    </row>
    <row r="141" spans="1:6">
      <c r="A141" s="202">
        <v>2</v>
      </c>
      <c r="B141" s="17" t="s">
        <v>527</v>
      </c>
      <c r="C141" s="202" t="s">
        <v>528</v>
      </c>
      <c r="D141" s="202" t="s">
        <v>542</v>
      </c>
      <c r="E141" s="93">
        <v>35000</v>
      </c>
      <c r="F141" s="94">
        <v>700000</v>
      </c>
    </row>
    <row r="142" spans="1:6">
      <c r="A142" s="202">
        <v>3</v>
      </c>
      <c r="B142" s="17" t="s">
        <v>530</v>
      </c>
      <c r="C142" s="202" t="s">
        <v>531</v>
      </c>
      <c r="D142" s="202" t="s">
        <v>542</v>
      </c>
      <c r="E142" s="93">
        <v>14000</v>
      </c>
      <c r="F142" s="94">
        <v>280000</v>
      </c>
    </row>
    <row r="143" spans="1:6">
      <c r="A143" s="202">
        <v>4</v>
      </c>
      <c r="B143" s="17" t="s">
        <v>532</v>
      </c>
      <c r="C143" s="202" t="s">
        <v>534</v>
      </c>
      <c r="D143" s="202" t="s">
        <v>535</v>
      </c>
      <c r="E143" s="93">
        <v>8000</v>
      </c>
      <c r="F143" s="93">
        <v>800000</v>
      </c>
    </row>
    <row r="144" spans="1:6">
      <c r="A144" s="1256" t="s">
        <v>174</v>
      </c>
      <c r="B144" s="1256"/>
      <c r="C144" s="1256"/>
      <c r="D144" s="1256"/>
      <c r="E144" s="1256"/>
      <c r="F144" s="94">
        <f>SUM(F140:F143)</f>
        <v>2485320</v>
      </c>
    </row>
    <row r="145" spans="1:6">
      <c r="A145" s="230"/>
    </row>
    <row r="146" spans="1:6" ht="15">
      <c r="A146" s="90" t="s">
        <v>800</v>
      </c>
      <c r="B146" s="19"/>
      <c r="C146" s="19"/>
      <c r="D146" s="19"/>
      <c r="E146" s="91"/>
      <c r="F146" s="91"/>
    </row>
    <row r="147" spans="1:6" ht="28.5">
      <c r="A147" s="204" t="s">
        <v>1</v>
      </c>
      <c r="B147" s="204" t="s">
        <v>338</v>
      </c>
      <c r="C147" s="92" t="s">
        <v>403</v>
      </c>
      <c r="D147" s="204" t="s">
        <v>315</v>
      </c>
      <c r="E147" s="93" t="s">
        <v>166</v>
      </c>
      <c r="F147" s="93" t="s">
        <v>179</v>
      </c>
    </row>
    <row r="148" spans="1:6">
      <c r="A148" s="202">
        <v>1</v>
      </c>
      <c r="B148" s="17" t="s">
        <v>524</v>
      </c>
      <c r="C148" s="202" t="s">
        <v>525</v>
      </c>
      <c r="D148" s="202" t="s">
        <v>526</v>
      </c>
      <c r="E148" s="93">
        <v>220370</v>
      </c>
      <c r="F148" s="94">
        <f>4*E148</f>
        <v>881480</v>
      </c>
    </row>
    <row r="149" spans="1:6">
      <c r="A149" s="202">
        <v>2</v>
      </c>
      <c r="B149" s="17" t="s">
        <v>527</v>
      </c>
      <c r="C149" s="202" t="s">
        <v>528</v>
      </c>
      <c r="D149" s="202" t="s">
        <v>533</v>
      </c>
      <c r="E149" s="93">
        <v>35000</v>
      </c>
      <c r="F149" s="94">
        <v>560000</v>
      </c>
    </row>
    <row r="150" spans="1:6">
      <c r="A150" s="202">
        <v>3</v>
      </c>
      <c r="B150" s="17" t="s">
        <v>530</v>
      </c>
      <c r="C150" s="202" t="s">
        <v>531</v>
      </c>
      <c r="D150" s="202" t="s">
        <v>533</v>
      </c>
      <c r="E150" s="93">
        <v>14000</v>
      </c>
      <c r="F150" s="94">
        <v>224000</v>
      </c>
    </row>
    <row r="151" spans="1:6">
      <c r="A151" s="202">
        <v>4</v>
      </c>
      <c r="B151" s="17" t="s">
        <v>532</v>
      </c>
      <c r="C151" s="202" t="s">
        <v>534</v>
      </c>
      <c r="D151" s="202" t="s">
        <v>535</v>
      </c>
      <c r="E151" s="93">
        <v>8000</v>
      </c>
      <c r="F151" s="93">
        <v>800000</v>
      </c>
    </row>
    <row r="152" spans="1:6">
      <c r="A152" s="1256" t="s">
        <v>174</v>
      </c>
      <c r="B152" s="1256"/>
      <c r="C152" s="1256"/>
      <c r="D152" s="1256"/>
      <c r="E152" s="1256"/>
      <c r="F152" s="94">
        <f>SUM(F148:F151)</f>
        <v>2465480</v>
      </c>
    </row>
    <row r="153" spans="1:6">
      <c r="A153" s="230"/>
    </row>
    <row r="154" spans="1:6" ht="15">
      <c r="A154" s="90" t="s">
        <v>801</v>
      </c>
      <c r="B154" s="19"/>
      <c r="C154" s="19"/>
      <c r="D154" s="19"/>
      <c r="E154" s="91"/>
      <c r="F154" s="91"/>
    </row>
    <row r="155" spans="1:6" ht="28.5">
      <c r="A155" s="204" t="s">
        <v>1</v>
      </c>
      <c r="B155" s="204" t="s">
        <v>338</v>
      </c>
      <c r="C155" s="92" t="s">
        <v>403</v>
      </c>
      <c r="D155" s="204" t="s">
        <v>315</v>
      </c>
      <c r="E155" s="93" t="s">
        <v>166</v>
      </c>
      <c r="F155" s="93" t="s">
        <v>179</v>
      </c>
    </row>
    <row r="156" spans="1:6">
      <c r="A156" s="202">
        <v>1</v>
      </c>
      <c r="B156" s="17" t="s">
        <v>524</v>
      </c>
      <c r="C156" s="202" t="s">
        <v>525</v>
      </c>
      <c r="D156" s="202" t="s">
        <v>526</v>
      </c>
      <c r="E156" s="93">
        <v>156970</v>
      </c>
      <c r="F156" s="94">
        <f>4*E156</f>
        <v>627880</v>
      </c>
    </row>
    <row r="157" spans="1:6">
      <c r="A157" s="202">
        <v>2</v>
      </c>
      <c r="B157" s="17" t="s">
        <v>527</v>
      </c>
      <c r="C157" s="202" t="s">
        <v>528</v>
      </c>
      <c r="D157" s="202" t="s">
        <v>533</v>
      </c>
      <c r="E157" s="93">
        <v>35000</v>
      </c>
      <c r="F157" s="94">
        <v>560000</v>
      </c>
    </row>
    <row r="158" spans="1:6">
      <c r="A158" s="202">
        <v>3</v>
      </c>
      <c r="B158" s="17" t="s">
        <v>530</v>
      </c>
      <c r="C158" s="202" t="s">
        <v>531</v>
      </c>
      <c r="D158" s="202" t="s">
        <v>533</v>
      </c>
      <c r="E158" s="93">
        <v>14000</v>
      </c>
      <c r="F158" s="94">
        <v>224000</v>
      </c>
    </row>
    <row r="159" spans="1:6">
      <c r="A159" s="202">
        <v>4</v>
      </c>
      <c r="B159" s="17" t="s">
        <v>532</v>
      </c>
      <c r="C159" s="202" t="s">
        <v>539</v>
      </c>
      <c r="D159" s="202" t="s">
        <v>535</v>
      </c>
      <c r="E159" s="93">
        <v>8000</v>
      </c>
      <c r="F159" s="93">
        <v>800000</v>
      </c>
    </row>
    <row r="160" spans="1:6">
      <c r="A160" s="1256" t="s">
        <v>174</v>
      </c>
      <c r="B160" s="1256"/>
      <c r="C160" s="1256"/>
      <c r="D160" s="1256"/>
      <c r="E160" s="1256"/>
      <c r="F160" s="94">
        <f>SUM(F156:F159)</f>
        <v>2211880</v>
      </c>
    </row>
    <row r="161" spans="1:6">
      <c r="A161" s="230"/>
    </row>
    <row r="162" spans="1:6" ht="15">
      <c r="A162" s="90" t="s">
        <v>802</v>
      </c>
      <c r="B162" s="19"/>
      <c r="C162" s="19"/>
      <c r="D162" s="19"/>
      <c r="E162" s="91"/>
      <c r="F162" s="91"/>
    </row>
    <row r="163" spans="1:6" ht="28.5">
      <c r="A163" s="204" t="s">
        <v>1</v>
      </c>
      <c r="B163" s="204" t="s">
        <v>338</v>
      </c>
      <c r="C163" s="92" t="s">
        <v>403</v>
      </c>
      <c r="D163" s="204" t="s">
        <v>315</v>
      </c>
      <c r="E163" s="93" t="s">
        <v>166</v>
      </c>
      <c r="F163" s="93" t="s">
        <v>179</v>
      </c>
    </row>
    <row r="164" spans="1:6">
      <c r="A164" s="202">
        <v>1</v>
      </c>
      <c r="B164" s="17" t="s">
        <v>524</v>
      </c>
      <c r="C164" s="202" t="s">
        <v>525</v>
      </c>
      <c r="D164" s="202" t="s">
        <v>526</v>
      </c>
      <c r="E164" s="93">
        <v>13000</v>
      </c>
      <c r="F164" s="94">
        <v>52000</v>
      </c>
    </row>
    <row r="165" spans="1:6">
      <c r="A165" s="202">
        <v>2</v>
      </c>
      <c r="B165" s="17" t="s">
        <v>527</v>
      </c>
      <c r="C165" s="202" t="s">
        <v>528</v>
      </c>
      <c r="D165" s="202" t="s">
        <v>538</v>
      </c>
      <c r="E165" s="93">
        <v>35000</v>
      </c>
      <c r="F165" s="94">
        <v>420000</v>
      </c>
    </row>
    <row r="166" spans="1:6">
      <c r="A166" s="202">
        <v>3</v>
      </c>
      <c r="B166" s="17" t="s">
        <v>530</v>
      </c>
      <c r="C166" s="202" t="s">
        <v>531</v>
      </c>
      <c r="D166" s="202" t="s">
        <v>538</v>
      </c>
      <c r="E166" s="93">
        <v>14000</v>
      </c>
      <c r="F166" s="94">
        <v>168000</v>
      </c>
    </row>
    <row r="167" spans="1:6">
      <c r="A167" s="202">
        <v>4</v>
      </c>
      <c r="B167" s="17" t="s">
        <v>532</v>
      </c>
      <c r="C167" s="202"/>
      <c r="D167" s="202">
        <v>2</v>
      </c>
      <c r="E167" s="93">
        <v>50000</v>
      </c>
      <c r="F167" s="93">
        <v>100000</v>
      </c>
    </row>
    <row r="168" spans="1:6">
      <c r="A168" s="1495" t="s">
        <v>174</v>
      </c>
      <c r="B168" s="1495"/>
      <c r="C168" s="1495"/>
      <c r="D168" s="1495"/>
      <c r="E168" s="1495"/>
      <c r="F168" s="94">
        <f>SUM(F164:F167)</f>
        <v>740000</v>
      </c>
    </row>
    <row r="170" spans="1:6">
      <c r="B170" s="96" t="s">
        <v>543</v>
      </c>
      <c r="F170" s="231">
        <f>+F168+F160+F152+F144+F136+F128+F120+F112+F104+F96+F88+F80+F72+F56+F48+F40+F32+F24+F16+F8+F64</f>
        <v>29505000</v>
      </c>
    </row>
  </sheetData>
  <mergeCells count="22">
    <mergeCell ref="A144:E144"/>
    <mergeCell ref="A152:E152"/>
    <mergeCell ref="A160:E160"/>
    <mergeCell ref="A168:E168"/>
    <mergeCell ref="A96:E96"/>
    <mergeCell ref="A104:E104"/>
    <mergeCell ref="A112:E112"/>
    <mergeCell ref="A120:E120"/>
    <mergeCell ref="A128:E128"/>
    <mergeCell ref="A136:E136"/>
    <mergeCell ref="A88:E88"/>
    <mergeCell ref="A1:F1"/>
    <mergeCell ref="A8:E8"/>
    <mergeCell ref="A16:E16"/>
    <mergeCell ref="A24:E24"/>
    <mergeCell ref="A32:E32"/>
    <mergeCell ref="A40:E40"/>
    <mergeCell ref="A48:E48"/>
    <mergeCell ref="A56:E56"/>
    <mergeCell ref="A64:E64"/>
    <mergeCell ref="A72:E72"/>
    <mergeCell ref="A80:E80"/>
  </mergeCells>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I9" sqref="I9"/>
    </sheetView>
  </sheetViews>
  <sheetFormatPr defaultRowHeight="14.25"/>
  <cols>
    <col min="1" max="1" width="4.5703125" style="186" customWidth="1"/>
    <col min="2" max="2" width="26.5703125" style="186" customWidth="1"/>
    <col min="3" max="3" width="26.7109375" style="186" customWidth="1"/>
    <col min="4" max="5" width="9.140625" style="186"/>
    <col min="6" max="6" width="17.7109375" style="186" customWidth="1"/>
    <col min="7" max="16384" width="9.140625" style="186"/>
  </cols>
  <sheetData>
    <row r="1" spans="1:6">
      <c r="A1" s="72"/>
      <c r="B1" s="1496" t="s">
        <v>344</v>
      </c>
      <c r="C1" s="1496"/>
      <c r="D1" s="1496"/>
      <c r="E1" s="72"/>
      <c r="F1" s="72"/>
    </row>
    <row r="2" spans="1:6">
      <c r="A2" s="72"/>
      <c r="B2" s="50"/>
      <c r="C2" s="50"/>
      <c r="D2" s="50"/>
      <c r="E2" s="72"/>
      <c r="F2" s="72"/>
    </row>
    <row r="3" spans="1:6">
      <c r="A3" s="72"/>
      <c r="B3" s="1497" t="s">
        <v>345</v>
      </c>
      <c r="C3" s="1497"/>
      <c r="D3" s="51"/>
      <c r="E3" s="72"/>
      <c r="F3" s="72"/>
    </row>
    <row r="4" spans="1:6" ht="40.5">
      <c r="A4" s="187" t="s">
        <v>1</v>
      </c>
      <c r="B4" s="187" t="s">
        <v>325</v>
      </c>
      <c r="C4" s="187" t="s">
        <v>3</v>
      </c>
      <c r="D4" s="187" t="s">
        <v>287</v>
      </c>
      <c r="E4" s="187" t="s">
        <v>166</v>
      </c>
      <c r="F4" s="187" t="s">
        <v>179</v>
      </c>
    </row>
    <row r="5" spans="1:6" ht="40.5">
      <c r="A5" s="171">
        <v>1</v>
      </c>
      <c r="B5" s="171" t="s">
        <v>346</v>
      </c>
      <c r="C5" s="171" t="s">
        <v>347</v>
      </c>
      <c r="D5" s="171">
        <v>2</v>
      </c>
      <c r="E5" s="171">
        <v>170000</v>
      </c>
      <c r="F5" s="171">
        <f t="shared" ref="F5:F16" si="0">+E5*D5</f>
        <v>340000</v>
      </c>
    </row>
    <row r="6" spans="1:6" ht="27">
      <c r="A6" s="171">
        <v>2</v>
      </c>
      <c r="B6" s="171" t="s">
        <v>348</v>
      </c>
      <c r="C6" s="171" t="s">
        <v>349</v>
      </c>
      <c r="D6" s="171">
        <v>1</v>
      </c>
      <c r="E6" s="171">
        <v>65000</v>
      </c>
      <c r="F6" s="171">
        <f t="shared" si="0"/>
        <v>65000</v>
      </c>
    </row>
    <row r="7" spans="1:6" ht="27">
      <c r="A7" s="171">
        <v>3</v>
      </c>
      <c r="B7" s="171" t="s">
        <v>350</v>
      </c>
      <c r="C7" s="171" t="s">
        <v>351</v>
      </c>
      <c r="D7" s="171">
        <v>1</v>
      </c>
      <c r="E7" s="171">
        <v>45000</v>
      </c>
      <c r="F7" s="171">
        <f t="shared" si="0"/>
        <v>45000</v>
      </c>
    </row>
    <row r="8" spans="1:6" ht="54">
      <c r="A8" s="171">
        <v>4</v>
      </c>
      <c r="B8" s="168" t="s">
        <v>352</v>
      </c>
      <c r="C8" s="171" t="s">
        <v>353</v>
      </c>
      <c r="D8" s="171">
        <v>4</v>
      </c>
      <c r="E8" s="171">
        <v>35000</v>
      </c>
      <c r="F8" s="171">
        <f t="shared" si="0"/>
        <v>140000</v>
      </c>
    </row>
    <row r="9" spans="1:6" ht="40.5">
      <c r="A9" s="171">
        <v>5</v>
      </c>
      <c r="B9" s="168" t="s">
        <v>354</v>
      </c>
      <c r="C9" s="171" t="s">
        <v>355</v>
      </c>
      <c r="D9" s="171">
        <v>3</v>
      </c>
      <c r="E9" s="171">
        <v>30000</v>
      </c>
      <c r="F9" s="171">
        <f t="shared" si="0"/>
        <v>90000</v>
      </c>
    </row>
    <row r="10" spans="1:6" ht="40.5">
      <c r="A10" s="171">
        <v>6</v>
      </c>
      <c r="B10" s="168" t="s">
        <v>356</v>
      </c>
      <c r="C10" s="171" t="s">
        <v>355</v>
      </c>
      <c r="D10" s="171">
        <v>1</v>
      </c>
      <c r="E10" s="171">
        <v>33000</v>
      </c>
      <c r="F10" s="171">
        <f t="shared" si="0"/>
        <v>33000</v>
      </c>
    </row>
    <row r="11" spans="1:6" ht="54">
      <c r="A11" s="171">
        <v>7</v>
      </c>
      <c r="B11" s="168" t="s">
        <v>357</v>
      </c>
      <c r="C11" s="171" t="s">
        <v>358</v>
      </c>
      <c r="D11" s="171">
        <v>4</v>
      </c>
      <c r="E11" s="171">
        <v>35000</v>
      </c>
      <c r="F11" s="171">
        <f t="shared" si="0"/>
        <v>140000</v>
      </c>
    </row>
    <row r="12" spans="1:6" ht="27">
      <c r="A12" s="171">
        <v>8</v>
      </c>
      <c r="B12" s="168" t="s">
        <v>359</v>
      </c>
      <c r="C12" s="171" t="s">
        <v>360</v>
      </c>
      <c r="D12" s="171">
        <v>1</v>
      </c>
      <c r="E12" s="171">
        <v>74000</v>
      </c>
      <c r="F12" s="171">
        <f t="shared" si="0"/>
        <v>74000</v>
      </c>
    </row>
    <row r="13" spans="1:6" ht="27">
      <c r="A13" s="171">
        <v>9</v>
      </c>
      <c r="B13" s="168" t="s">
        <v>361</v>
      </c>
      <c r="C13" s="171" t="s">
        <v>362</v>
      </c>
      <c r="D13" s="171">
        <v>1</v>
      </c>
      <c r="E13" s="171">
        <v>70000</v>
      </c>
      <c r="F13" s="171">
        <f t="shared" si="0"/>
        <v>70000</v>
      </c>
    </row>
    <row r="14" spans="1:6" ht="67.5">
      <c r="A14" s="171">
        <v>10</v>
      </c>
      <c r="B14" s="168" t="s">
        <v>363</v>
      </c>
      <c r="C14" s="171" t="s">
        <v>364</v>
      </c>
      <c r="D14" s="171">
        <v>2</v>
      </c>
      <c r="E14" s="171">
        <v>75000</v>
      </c>
      <c r="F14" s="171">
        <f t="shared" si="0"/>
        <v>150000</v>
      </c>
    </row>
    <row r="15" spans="1:6" ht="40.5">
      <c r="A15" s="171">
        <v>11</v>
      </c>
      <c r="B15" s="168" t="s">
        <v>365</v>
      </c>
      <c r="C15" s="171" t="s">
        <v>366</v>
      </c>
      <c r="D15" s="171">
        <v>1</v>
      </c>
      <c r="E15" s="171">
        <v>155000</v>
      </c>
      <c r="F15" s="171">
        <f t="shared" si="0"/>
        <v>155000</v>
      </c>
    </row>
    <row r="16" spans="1:6">
      <c r="A16" s="171">
        <v>12</v>
      </c>
      <c r="B16" s="168" t="s">
        <v>367</v>
      </c>
      <c r="C16" s="171" t="s">
        <v>368</v>
      </c>
      <c r="D16" s="171">
        <v>1</v>
      </c>
      <c r="E16" s="171">
        <v>65000</v>
      </c>
      <c r="F16" s="171">
        <f t="shared" si="0"/>
        <v>65000</v>
      </c>
    </row>
    <row r="17" spans="1:6">
      <c r="A17" s="1498" t="s">
        <v>179</v>
      </c>
      <c r="B17" s="1498"/>
      <c r="C17" s="1498"/>
      <c r="D17" s="188"/>
      <c r="E17" s="188"/>
      <c r="F17" s="189">
        <f>SUM(F5:F16)</f>
        <v>1367000</v>
      </c>
    </row>
  </sheetData>
  <mergeCells count="3">
    <mergeCell ref="B1:D1"/>
    <mergeCell ref="B3:C3"/>
    <mergeCell ref="A17:C17"/>
  </mergeCells>
  <pageMargins left="0.7" right="0.7"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G10" sqref="G10"/>
    </sheetView>
  </sheetViews>
  <sheetFormatPr defaultRowHeight="14.25"/>
  <cols>
    <col min="2" max="2" width="19.42578125" customWidth="1"/>
    <col min="3" max="3" width="28" customWidth="1"/>
    <col min="6" max="6" width="16.85546875" customWidth="1"/>
  </cols>
  <sheetData>
    <row r="1" spans="1:6">
      <c r="A1" s="32"/>
      <c r="B1" s="1502" t="s">
        <v>369</v>
      </c>
      <c r="C1" s="1502"/>
      <c r="D1" s="32"/>
      <c r="E1" s="59"/>
      <c r="F1" s="59"/>
    </row>
    <row r="2" spans="1:6">
      <c r="A2" s="60"/>
      <c r="B2" s="61"/>
      <c r="C2" s="61"/>
      <c r="D2" s="62"/>
      <c r="E2" s="61"/>
      <c r="F2" s="61"/>
    </row>
    <row r="3" spans="1:6">
      <c r="A3" s="1499">
        <v>2</v>
      </c>
      <c r="B3" s="63" t="s">
        <v>370</v>
      </c>
      <c r="C3" s="63"/>
      <c r="D3" s="63"/>
      <c r="E3" s="63"/>
      <c r="F3" s="63"/>
    </row>
    <row r="4" spans="1:6" ht="40.5">
      <c r="A4" s="1500"/>
      <c r="B4" s="54" t="s">
        <v>371</v>
      </c>
      <c r="C4" s="53" t="s">
        <v>372</v>
      </c>
      <c r="D4" s="52">
        <v>1</v>
      </c>
      <c r="E4" s="52">
        <v>220000</v>
      </c>
      <c r="F4" s="64">
        <f>+E4*D4</f>
        <v>220000</v>
      </c>
    </row>
    <row r="5" spans="1:6" ht="40.5">
      <c r="A5" s="1501"/>
      <c r="B5" s="54" t="s">
        <v>373</v>
      </c>
      <c r="C5" s="53" t="s">
        <v>372</v>
      </c>
      <c r="D5" s="52">
        <v>4</v>
      </c>
      <c r="E5" s="52">
        <v>250000</v>
      </c>
      <c r="F5" s="64">
        <f>+E5*D5</f>
        <v>1000000</v>
      </c>
    </row>
    <row r="6" spans="1:6">
      <c r="A6" s="65"/>
      <c r="B6" s="53" t="s">
        <v>374</v>
      </c>
      <c r="C6" s="53"/>
      <c r="D6" s="53"/>
      <c r="E6" s="53"/>
      <c r="F6" s="53">
        <f>SUM(F4:F5)</f>
        <v>1220000</v>
      </c>
    </row>
    <row r="7" spans="1:6">
      <c r="A7" s="60"/>
      <c r="B7" s="61"/>
      <c r="C7" s="61"/>
      <c r="D7" s="61"/>
      <c r="E7" s="61"/>
      <c r="F7" s="57"/>
    </row>
    <row r="8" spans="1:6" ht="27">
      <c r="A8" s="1499">
        <v>3</v>
      </c>
      <c r="B8" s="63" t="s">
        <v>375</v>
      </c>
      <c r="C8" s="63"/>
      <c r="D8" s="63"/>
      <c r="E8" s="63"/>
      <c r="F8" s="63"/>
    </row>
    <row r="9" spans="1:6" ht="27">
      <c r="A9" s="1500"/>
      <c r="B9" s="54" t="s">
        <v>373</v>
      </c>
      <c r="C9" s="53" t="s">
        <v>376</v>
      </c>
      <c r="D9" s="52">
        <v>4</v>
      </c>
      <c r="E9" s="52">
        <v>355000</v>
      </c>
      <c r="F9" s="53">
        <f>+E9*D9</f>
        <v>1420000</v>
      </c>
    </row>
    <row r="10" spans="1:6" ht="27">
      <c r="A10" s="1501"/>
      <c r="B10" s="66" t="s">
        <v>377</v>
      </c>
      <c r="C10" s="53" t="s">
        <v>376</v>
      </c>
      <c r="D10" s="18">
        <v>4</v>
      </c>
      <c r="E10" s="18">
        <v>150000</v>
      </c>
      <c r="F10" s="67">
        <f>+E10*D10</f>
        <v>600000</v>
      </c>
    </row>
    <row r="11" spans="1:6">
      <c r="A11" s="65"/>
      <c r="B11" s="53" t="s">
        <v>374</v>
      </c>
      <c r="C11" s="53"/>
      <c r="D11" s="53"/>
      <c r="E11" s="52"/>
      <c r="F11" s="53">
        <f>SUM(F8:F10)</f>
        <v>2020000</v>
      </c>
    </row>
    <row r="12" spans="1:6">
      <c r="A12" s="32"/>
      <c r="B12" s="59"/>
      <c r="C12" s="59"/>
      <c r="D12" s="59"/>
      <c r="E12" s="59"/>
      <c r="F12" s="59"/>
    </row>
    <row r="13" spans="1:6">
      <c r="A13" s="32"/>
      <c r="B13" s="59"/>
      <c r="C13" s="59"/>
      <c r="D13" s="59"/>
      <c r="E13" s="59"/>
      <c r="F13" s="59"/>
    </row>
    <row r="14" spans="1:6">
      <c r="A14" s="1499">
        <v>4</v>
      </c>
      <c r="B14" s="63" t="s">
        <v>378</v>
      </c>
      <c r="C14" s="63"/>
      <c r="D14" s="63"/>
      <c r="E14" s="63"/>
      <c r="F14" s="63"/>
    </row>
    <row r="15" spans="1:6" ht="27">
      <c r="A15" s="1501"/>
      <c r="B15" s="66" t="s">
        <v>377</v>
      </c>
      <c r="C15" s="53" t="s">
        <v>376</v>
      </c>
      <c r="D15" s="52">
        <v>4</v>
      </c>
      <c r="E15" s="52">
        <v>135000</v>
      </c>
      <c r="F15" s="53">
        <f>+E15*D15</f>
        <v>540000</v>
      </c>
    </row>
    <row r="16" spans="1:6">
      <c r="A16" s="65"/>
      <c r="B16" s="53" t="s">
        <v>374</v>
      </c>
      <c r="C16" s="53"/>
      <c r="D16" s="53"/>
      <c r="E16" s="53"/>
      <c r="F16" s="53">
        <f>SUM(F15)</f>
        <v>540000</v>
      </c>
    </row>
    <row r="17" spans="1:6">
      <c r="A17" s="60"/>
      <c r="B17" s="61"/>
      <c r="C17" s="61"/>
      <c r="D17" s="61"/>
      <c r="E17" s="61"/>
      <c r="F17" s="61"/>
    </row>
    <row r="18" spans="1:6" ht="40.5">
      <c r="A18" s="52">
        <v>5</v>
      </c>
      <c r="B18" s="54" t="s">
        <v>379</v>
      </c>
      <c r="C18" s="54" t="s">
        <v>380</v>
      </c>
      <c r="D18" s="54"/>
      <c r="E18" s="54"/>
      <c r="F18" s="64">
        <v>5000000</v>
      </c>
    </row>
    <row r="19" spans="1:6">
      <c r="A19" s="53"/>
      <c r="B19" s="53" t="s">
        <v>374</v>
      </c>
      <c r="C19" s="53"/>
      <c r="D19" s="53"/>
      <c r="E19" s="53"/>
      <c r="F19" s="53">
        <f>SUM(F18)</f>
        <v>5000000</v>
      </c>
    </row>
    <row r="20" spans="1:6">
      <c r="A20" s="56"/>
      <c r="B20" s="56"/>
      <c r="C20" s="56"/>
      <c r="D20" s="57"/>
      <c r="E20" s="57"/>
      <c r="F20" s="58"/>
    </row>
    <row r="21" spans="1:6">
      <c r="A21" s="1449" t="s">
        <v>174</v>
      </c>
      <c r="B21" s="1454"/>
      <c r="C21" s="33"/>
      <c r="D21" s="33"/>
      <c r="E21" s="33"/>
      <c r="F21" s="55">
        <f>+F19+F16+F11+F6</f>
        <v>8780000</v>
      </c>
    </row>
  </sheetData>
  <mergeCells count="5">
    <mergeCell ref="A3:A5"/>
    <mergeCell ref="A8:A10"/>
    <mergeCell ref="A14:A15"/>
    <mergeCell ref="A21:B21"/>
    <mergeCell ref="B1:C1"/>
  </mergeCells>
  <pageMargins left="0.7" right="0.7"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2" sqref="A2"/>
    </sheetView>
  </sheetViews>
  <sheetFormatPr defaultRowHeight="14.25"/>
  <cols>
    <col min="1" max="1" width="2.85546875" style="186" customWidth="1"/>
    <col min="2" max="2" width="22.28515625" style="186" customWidth="1"/>
    <col min="3" max="3" width="16.140625" style="186" customWidth="1"/>
    <col min="4" max="4" width="6.140625" style="186" customWidth="1"/>
    <col min="5" max="5" width="10.7109375" style="186" customWidth="1"/>
    <col min="6" max="6" width="14.28515625" style="186" customWidth="1"/>
    <col min="7" max="7" width="21.28515625" style="186" customWidth="1"/>
    <col min="8" max="16384" width="9.140625" style="186"/>
  </cols>
  <sheetData>
    <row r="1" spans="1:7" ht="54" customHeight="1">
      <c r="A1" s="1503" t="s">
        <v>1189</v>
      </c>
      <c r="B1" s="1503"/>
      <c r="C1" s="1503"/>
      <c r="D1" s="1503"/>
      <c r="E1" s="1503"/>
      <c r="F1" s="1503"/>
      <c r="G1" s="1503"/>
    </row>
    <row r="2" spans="1:7" ht="56.25">
      <c r="A2" s="233">
        <v>17</v>
      </c>
      <c r="B2" s="234" t="s">
        <v>720</v>
      </c>
      <c r="C2" s="233" t="s">
        <v>545</v>
      </c>
      <c r="D2" s="233">
        <v>11</v>
      </c>
      <c r="E2" s="235">
        <v>3624800</v>
      </c>
      <c r="F2" s="235">
        <v>105300000</v>
      </c>
      <c r="G2" s="236" t="s">
        <v>721</v>
      </c>
    </row>
    <row r="3" spans="1:7" ht="45">
      <c r="A3" s="217">
        <v>18</v>
      </c>
      <c r="B3" s="237" t="s">
        <v>731</v>
      </c>
      <c r="C3" s="238" t="s">
        <v>545</v>
      </c>
      <c r="D3" s="239">
        <v>1</v>
      </c>
      <c r="E3" s="240">
        <v>22748480</v>
      </c>
      <c r="F3" s="240">
        <v>22748480</v>
      </c>
      <c r="G3" s="241"/>
    </row>
    <row r="4" spans="1:7" customFormat="1" ht="90">
      <c r="A4" s="226">
        <v>15</v>
      </c>
      <c r="B4" s="1504" t="s">
        <v>706</v>
      </c>
      <c r="C4" s="242" t="s">
        <v>707</v>
      </c>
      <c r="D4" s="243"/>
      <c r="E4" s="243"/>
      <c r="F4" s="244">
        <v>15000000</v>
      </c>
      <c r="G4" s="245" t="s">
        <v>669</v>
      </c>
    </row>
    <row r="5" spans="1:7" customFormat="1" ht="113.25">
      <c r="A5" s="226">
        <v>16</v>
      </c>
      <c r="B5" s="1504"/>
      <c r="C5" s="216" t="s">
        <v>708</v>
      </c>
      <c r="D5" s="243"/>
      <c r="E5" s="243"/>
      <c r="F5" s="244">
        <v>15000000</v>
      </c>
      <c r="G5" s="245" t="s">
        <v>690</v>
      </c>
    </row>
    <row r="6" spans="1:7" customFormat="1" ht="90">
      <c r="A6" s="226">
        <v>17</v>
      </c>
      <c r="B6" s="1504"/>
      <c r="C6" s="246" t="s">
        <v>709</v>
      </c>
      <c r="D6" s="243"/>
      <c r="E6" s="243"/>
      <c r="F6" s="244">
        <v>25992000</v>
      </c>
      <c r="G6" s="245" t="s">
        <v>693</v>
      </c>
    </row>
    <row r="7" spans="1:7">
      <c r="A7" s="247"/>
      <c r="B7" s="1505" t="s">
        <v>764</v>
      </c>
      <c r="C7" s="1505"/>
      <c r="D7" s="1505"/>
      <c r="E7" s="1505"/>
      <c r="F7" s="1505"/>
      <c r="G7" s="1505"/>
    </row>
    <row r="8" spans="1:7">
      <c r="A8" s="247"/>
      <c r="B8" s="248" t="s">
        <v>765</v>
      </c>
      <c r="C8" s="248" t="s">
        <v>766</v>
      </c>
      <c r="D8" s="248">
        <v>25</v>
      </c>
      <c r="E8" s="248" t="s">
        <v>768</v>
      </c>
      <c r="F8" s="248" t="s">
        <v>769</v>
      </c>
      <c r="G8" s="226"/>
    </row>
    <row r="9" spans="1:7">
      <c r="A9" s="247"/>
      <c r="B9" s="248" t="s">
        <v>767</v>
      </c>
      <c r="C9" s="226"/>
      <c r="D9" s="248">
        <v>40</v>
      </c>
      <c r="E9" s="248">
        <v>150</v>
      </c>
      <c r="F9" s="248" t="s">
        <v>770</v>
      </c>
      <c r="G9" s="226"/>
    </row>
    <row r="10" spans="1:7">
      <c r="A10" s="247"/>
      <c r="B10" s="248" t="s">
        <v>803</v>
      </c>
      <c r="C10" s="226"/>
      <c r="D10" s="248" t="s">
        <v>771</v>
      </c>
      <c r="E10" s="226"/>
      <c r="F10" s="248" t="s">
        <v>772</v>
      </c>
      <c r="G10" s="226"/>
    </row>
    <row r="11" spans="1:7">
      <c r="A11" s="247"/>
      <c r="B11" s="248" t="s">
        <v>804</v>
      </c>
      <c r="C11" s="226"/>
      <c r="D11" s="248" t="s">
        <v>771</v>
      </c>
      <c r="E11" s="226"/>
      <c r="F11" s="248" t="s">
        <v>772</v>
      </c>
      <c r="G11" s="226"/>
    </row>
    <row r="12" spans="1:7">
      <c r="A12" s="247"/>
      <c r="B12" s="248" t="s">
        <v>805</v>
      </c>
      <c r="C12" s="226"/>
      <c r="D12" s="248" t="s">
        <v>771</v>
      </c>
      <c r="E12" s="226"/>
      <c r="F12" s="248" t="s">
        <v>772</v>
      </c>
      <c r="G12" s="226"/>
    </row>
    <row r="13" spans="1:7">
      <c r="A13" s="247"/>
      <c r="B13" s="249" t="s">
        <v>806</v>
      </c>
      <c r="C13" s="226"/>
      <c r="D13" s="226"/>
      <c r="E13" s="226"/>
      <c r="F13" s="250">
        <v>9050000</v>
      </c>
      <c r="G13" s="226"/>
    </row>
    <row r="14" spans="1:7">
      <c r="A14" s="1506" t="s">
        <v>390</v>
      </c>
      <c r="B14" s="1507"/>
      <c r="C14" s="1507"/>
      <c r="D14" s="1507"/>
      <c r="E14" s="1508"/>
      <c r="F14" s="251">
        <f>+F13+F6+F5+F4+F3+F2</f>
        <v>193090480</v>
      </c>
      <c r="G14" s="252"/>
    </row>
  </sheetData>
  <mergeCells count="4">
    <mergeCell ref="A1:G1"/>
    <mergeCell ref="B4:B6"/>
    <mergeCell ref="B7:G7"/>
    <mergeCell ref="A14:E14"/>
  </mergeCells>
  <pageMargins left="0.7" right="0.7" top="0.75" bottom="0.75" header="0.3" footer="0.3"/>
  <pageSetup paperSize="9" scale="90"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D18" sqref="D18"/>
    </sheetView>
  </sheetViews>
  <sheetFormatPr defaultRowHeight="13.5"/>
  <cols>
    <col min="1" max="1" width="4" style="32" customWidth="1"/>
    <col min="2" max="2" width="27.85546875" style="32" customWidth="1"/>
    <col min="3" max="3" width="24.85546875" style="32" customWidth="1"/>
    <col min="4" max="4" width="7.7109375" style="32" customWidth="1"/>
    <col min="5" max="5" width="11.28515625" style="32" customWidth="1"/>
    <col min="6" max="6" width="12.28515625" style="32" customWidth="1"/>
    <col min="7" max="7" width="40.42578125" style="32" customWidth="1"/>
    <col min="8" max="16384" width="9.140625" style="32"/>
  </cols>
  <sheetData>
    <row r="1" spans="1:7" ht="28.5" customHeight="1">
      <c r="A1" s="1509" t="s">
        <v>730</v>
      </c>
      <c r="B1" s="1509"/>
      <c r="C1" s="1509"/>
      <c r="D1" s="1509"/>
      <c r="E1" s="1509"/>
      <c r="F1" s="1509"/>
      <c r="G1" s="1509"/>
    </row>
    <row r="2" spans="1:7" ht="24">
      <c r="A2" s="190">
        <v>1</v>
      </c>
      <c r="B2" s="191" t="s">
        <v>722</v>
      </c>
      <c r="C2" s="190" t="s">
        <v>723</v>
      </c>
      <c r="D2" s="190">
        <v>60</v>
      </c>
      <c r="E2" s="192">
        <v>3500000</v>
      </c>
      <c r="F2" s="193">
        <v>3500000</v>
      </c>
      <c r="G2" s="191" t="s">
        <v>721</v>
      </c>
    </row>
    <row r="3" spans="1:7" ht="24">
      <c r="A3" s="190">
        <v>2</v>
      </c>
      <c r="B3" s="191" t="s">
        <v>724</v>
      </c>
      <c r="C3" s="194" t="s">
        <v>725</v>
      </c>
      <c r="D3" s="194" t="s">
        <v>519</v>
      </c>
      <c r="E3" s="195">
        <v>2500000</v>
      </c>
      <c r="F3" s="196">
        <v>30000000</v>
      </c>
      <c r="G3" s="191" t="s">
        <v>726</v>
      </c>
    </row>
    <row r="4" spans="1:7" ht="36">
      <c r="A4" s="190">
        <v>3</v>
      </c>
      <c r="B4" s="191" t="s">
        <v>727</v>
      </c>
      <c r="C4" s="194" t="s">
        <v>725</v>
      </c>
      <c r="D4" s="194" t="s">
        <v>519</v>
      </c>
      <c r="E4" s="195">
        <v>500000</v>
      </c>
      <c r="F4" s="196">
        <v>6000000</v>
      </c>
      <c r="G4" s="191" t="s">
        <v>728</v>
      </c>
    </row>
    <row r="5" spans="1:7" ht="36">
      <c r="A5" s="190">
        <v>4</v>
      </c>
      <c r="B5" s="197" t="s">
        <v>729</v>
      </c>
      <c r="C5" s="194" t="s">
        <v>725</v>
      </c>
      <c r="D5" s="194" t="s">
        <v>519</v>
      </c>
      <c r="E5" s="198">
        <v>1000000</v>
      </c>
      <c r="F5" s="196">
        <v>12000000</v>
      </c>
      <c r="G5" s="199"/>
    </row>
    <row r="6" spans="1:7" ht="54">
      <c r="A6" s="34">
        <v>5</v>
      </c>
      <c r="B6" s="200" t="s">
        <v>715</v>
      </c>
      <c r="C6" s="174" t="s">
        <v>716</v>
      </c>
      <c r="D6" s="148" t="s">
        <v>717</v>
      </c>
      <c r="E6" s="148" t="s">
        <v>718</v>
      </c>
      <c r="F6" s="149">
        <v>2940000</v>
      </c>
      <c r="G6" s="150" t="s">
        <v>690</v>
      </c>
    </row>
    <row r="7" spans="1:7" ht="40.5">
      <c r="A7" s="201">
        <v>6</v>
      </c>
      <c r="B7" s="200" t="s">
        <v>715</v>
      </c>
      <c r="C7" s="178" t="s">
        <v>719</v>
      </c>
      <c r="D7" s="179"/>
      <c r="E7" s="179"/>
      <c r="F7" s="180">
        <v>15000000</v>
      </c>
      <c r="G7" s="185" t="s">
        <v>690</v>
      </c>
    </row>
    <row r="8" spans="1:7">
      <c r="A8" s="1449" t="s">
        <v>390</v>
      </c>
      <c r="B8" s="1450"/>
      <c r="C8" s="1450"/>
      <c r="D8" s="1454"/>
      <c r="E8" s="33"/>
      <c r="F8" s="97">
        <f>+F7+F6+F5+F4+F3+F2</f>
        <v>69440000</v>
      </c>
      <c r="G8" s="33"/>
    </row>
    <row r="18" spans="4:4">
      <c r="D18" s="32" t="s">
        <v>935</v>
      </c>
    </row>
  </sheetData>
  <mergeCells count="2">
    <mergeCell ref="A1:G1"/>
    <mergeCell ref="A8:D8"/>
  </mergeCells>
  <pageMargins left="0.7" right="0.7" top="0.75" bottom="0.75" header="0.3" footer="0.3"/>
  <pageSetup paperSize="9" orientation="landscape"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workbookViewId="0">
      <selection activeCell="L3" sqref="L3"/>
    </sheetView>
  </sheetViews>
  <sheetFormatPr defaultRowHeight="14.25"/>
  <cols>
    <col min="1" max="1" width="9" customWidth="1"/>
    <col min="2" max="2" width="19.85546875" bestFit="1" customWidth="1"/>
    <col min="7" max="7" width="13.85546875" bestFit="1" customWidth="1"/>
    <col min="8" max="8" width="14.85546875" bestFit="1" customWidth="1"/>
  </cols>
  <sheetData>
    <row r="1" spans="1:8" ht="15">
      <c r="A1" s="589" t="s">
        <v>1194</v>
      </c>
    </row>
    <row r="2" spans="1:8" ht="15">
      <c r="A2" s="589" t="s">
        <v>1195</v>
      </c>
    </row>
    <row r="3" spans="1:8" ht="15">
      <c r="A3" s="582"/>
    </row>
    <row r="4" spans="1:8" ht="15">
      <c r="A4" s="590" t="s">
        <v>1196</v>
      </c>
    </row>
    <row r="5" spans="1:8" ht="15.75" thickBot="1">
      <c r="A5" s="582"/>
    </row>
    <row r="6" spans="1:8" ht="16.5" thickBot="1">
      <c r="A6" s="1519" t="s">
        <v>1</v>
      </c>
      <c r="B6" s="1538" t="s">
        <v>1197</v>
      </c>
      <c r="C6" s="1541" t="s">
        <v>1198</v>
      </c>
      <c r="D6" s="1542"/>
      <c r="E6" s="1547" t="s">
        <v>1064</v>
      </c>
      <c r="F6" s="1548"/>
      <c r="G6" s="1548"/>
      <c r="H6" s="1549"/>
    </row>
    <row r="7" spans="1:8" ht="15">
      <c r="A7" s="1537"/>
      <c r="B7" s="1539"/>
      <c r="C7" s="1543"/>
      <c r="D7" s="1544"/>
      <c r="E7" s="1529" t="s">
        <v>1199</v>
      </c>
      <c r="F7" s="1530"/>
      <c r="G7" s="1519" t="s">
        <v>1201</v>
      </c>
      <c r="H7" s="1519" t="s">
        <v>1202</v>
      </c>
    </row>
    <row r="8" spans="1:8" ht="15.75" thickBot="1">
      <c r="A8" s="1520"/>
      <c r="B8" s="1540"/>
      <c r="C8" s="1545"/>
      <c r="D8" s="1546"/>
      <c r="E8" s="1531" t="s">
        <v>1200</v>
      </c>
      <c r="F8" s="1532"/>
      <c r="G8" s="1520"/>
      <c r="H8" s="1520"/>
    </row>
    <row r="9" spans="1:8" ht="16.5" thickBot="1">
      <c r="A9" s="1516" t="s">
        <v>1203</v>
      </c>
      <c r="B9" s="1517"/>
      <c r="C9" s="1517"/>
      <c r="D9" s="1517"/>
      <c r="E9" s="1517"/>
      <c r="F9" s="1517"/>
      <c r="G9" s="1517"/>
      <c r="H9" s="1518"/>
    </row>
    <row r="10" spans="1:8" ht="15.75" thickBot="1">
      <c r="A10" s="583" t="s">
        <v>1204</v>
      </c>
      <c r="B10" s="1510" t="s">
        <v>1205</v>
      </c>
      <c r="C10" s="1511"/>
      <c r="D10" s="1510" t="s">
        <v>1206</v>
      </c>
      <c r="E10" s="1511"/>
      <c r="F10" s="584">
        <v>2</v>
      </c>
      <c r="G10" s="585">
        <v>42920</v>
      </c>
      <c r="H10" s="585">
        <v>43650</v>
      </c>
    </row>
    <row r="11" spans="1:8" ht="15.75" thickBot="1">
      <c r="A11" s="583" t="s">
        <v>1207</v>
      </c>
      <c r="B11" s="1510" t="s">
        <v>1208</v>
      </c>
      <c r="C11" s="1511"/>
      <c r="D11" s="1510" t="s">
        <v>1209</v>
      </c>
      <c r="E11" s="1511"/>
      <c r="F11" s="584">
        <v>2</v>
      </c>
      <c r="G11" s="585">
        <v>42807</v>
      </c>
      <c r="H11" s="585">
        <v>43537</v>
      </c>
    </row>
    <row r="12" spans="1:8">
      <c r="A12" s="1523" t="s">
        <v>1210</v>
      </c>
      <c r="B12" s="1529" t="s">
        <v>1211</v>
      </c>
      <c r="C12" s="1530"/>
      <c r="D12" s="1529" t="s">
        <v>1212</v>
      </c>
      <c r="E12" s="1530"/>
      <c r="F12" s="1535">
        <v>2</v>
      </c>
      <c r="G12" s="1521">
        <v>42817</v>
      </c>
      <c r="H12" s="1521">
        <v>43547</v>
      </c>
    </row>
    <row r="13" spans="1:8" ht="15" thickBot="1">
      <c r="A13" s="1524"/>
      <c r="B13" s="1531"/>
      <c r="C13" s="1532"/>
      <c r="D13" s="1531"/>
      <c r="E13" s="1532"/>
      <c r="F13" s="1536"/>
      <c r="G13" s="1522"/>
      <c r="H13" s="1522"/>
    </row>
    <row r="14" spans="1:8">
      <c r="A14" s="1523" t="s">
        <v>1213</v>
      </c>
      <c r="B14" s="1529" t="s">
        <v>1214</v>
      </c>
      <c r="C14" s="1530"/>
      <c r="D14" s="1529" t="s">
        <v>1215</v>
      </c>
      <c r="E14" s="1530"/>
      <c r="F14" s="1535">
        <v>2</v>
      </c>
      <c r="G14" s="1521">
        <v>42920</v>
      </c>
      <c r="H14" s="1521">
        <v>43650</v>
      </c>
    </row>
    <row r="15" spans="1:8" ht="15" thickBot="1">
      <c r="A15" s="1524"/>
      <c r="B15" s="1531"/>
      <c r="C15" s="1532"/>
      <c r="D15" s="1531"/>
      <c r="E15" s="1532"/>
      <c r="F15" s="1536"/>
      <c r="G15" s="1522"/>
      <c r="H15" s="1522"/>
    </row>
    <row r="16" spans="1:8">
      <c r="A16" s="1523" t="s">
        <v>1216</v>
      </c>
      <c r="B16" s="1529" t="s">
        <v>1217</v>
      </c>
      <c r="C16" s="1530"/>
      <c r="D16" s="1529" t="s">
        <v>1218</v>
      </c>
      <c r="E16" s="1530"/>
      <c r="F16" s="1535">
        <v>2</v>
      </c>
      <c r="G16" s="1521">
        <v>43096</v>
      </c>
      <c r="H16" s="1521">
        <v>43826</v>
      </c>
    </row>
    <row r="17" spans="1:8" ht="15" thickBot="1">
      <c r="A17" s="1524"/>
      <c r="B17" s="1531"/>
      <c r="C17" s="1532"/>
      <c r="D17" s="1531"/>
      <c r="E17" s="1532"/>
      <c r="F17" s="1536"/>
      <c r="G17" s="1522"/>
      <c r="H17" s="1522"/>
    </row>
    <row r="18" spans="1:8">
      <c r="A18" s="1523" t="s">
        <v>1219</v>
      </c>
      <c r="B18" s="1529" t="s">
        <v>1220</v>
      </c>
      <c r="C18" s="1530"/>
      <c r="D18" s="1529" t="s">
        <v>1221</v>
      </c>
      <c r="E18" s="1530"/>
      <c r="F18" s="1535">
        <v>2</v>
      </c>
      <c r="G18" s="1521">
        <v>42850</v>
      </c>
      <c r="H18" s="1521">
        <v>43580</v>
      </c>
    </row>
    <row r="19" spans="1:8" ht="15" thickBot="1">
      <c r="A19" s="1524"/>
      <c r="B19" s="1531"/>
      <c r="C19" s="1532"/>
      <c r="D19" s="1531"/>
      <c r="E19" s="1532"/>
      <c r="F19" s="1536"/>
      <c r="G19" s="1522"/>
      <c r="H19" s="1522"/>
    </row>
    <row r="20" spans="1:8">
      <c r="A20" s="1523" t="s">
        <v>1222</v>
      </c>
      <c r="B20" s="1529" t="s">
        <v>1223</v>
      </c>
      <c r="C20" s="1530"/>
      <c r="D20" s="1529" t="s">
        <v>1224</v>
      </c>
      <c r="E20" s="1530"/>
      <c r="F20" s="1535">
        <v>2</v>
      </c>
      <c r="G20" s="1521">
        <v>42850</v>
      </c>
      <c r="H20" s="1521">
        <v>43580</v>
      </c>
    </row>
    <row r="21" spans="1:8" ht="15" thickBot="1">
      <c r="A21" s="1524"/>
      <c r="B21" s="1531"/>
      <c r="C21" s="1532"/>
      <c r="D21" s="1531"/>
      <c r="E21" s="1532"/>
      <c r="F21" s="1536"/>
      <c r="G21" s="1522"/>
      <c r="H21" s="1522"/>
    </row>
    <row r="22" spans="1:8" ht="15.75" thickBot="1">
      <c r="A22" s="583" t="s">
        <v>1225</v>
      </c>
      <c r="B22" s="1510" t="s">
        <v>1226</v>
      </c>
      <c r="C22" s="1511"/>
      <c r="D22" s="1510" t="s">
        <v>1227</v>
      </c>
      <c r="E22" s="1511"/>
      <c r="F22" s="584">
        <v>3</v>
      </c>
      <c r="G22" s="585">
        <v>42731</v>
      </c>
      <c r="H22" s="585">
        <v>43826</v>
      </c>
    </row>
    <row r="23" spans="1:8">
      <c r="A23" s="1523" t="s">
        <v>1228</v>
      </c>
      <c r="B23" s="1529" t="s">
        <v>1229</v>
      </c>
      <c r="C23" s="1530"/>
      <c r="D23" s="1529" t="s">
        <v>1230</v>
      </c>
      <c r="E23" s="1530"/>
      <c r="F23" s="1535">
        <v>2</v>
      </c>
      <c r="G23" s="1521">
        <v>42978</v>
      </c>
      <c r="H23" s="1521">
        <v>43708</v>
      </c>
    </row>
    <row r="24" spans="1:8" ht="15" thickBot="1">
      <c r="A24" s="1524"/>
      <c r="B24" s="1531"/>
      <c r="C24" s="1532"/>
      <c r="D24" s="1531"/>
      <c r="E24" s="1532"/>
      <c r="F24" s="1536"/>
      <c r="G24" s="1522"/>
      <c r="H24" s="1522"/>
    </row>
    <row r="25" spans="1:8">
      <c r="A25" s="1523" t="s">
        <v>1231</v>
      </c>
      <c r="B25" s="1529" t="s">
        <v>1232</v>
      </c>
      <c r="C25" s="1530"/>
      <c r="D25" s="1529" t="s">
        <v>1233</v>
      </c>
      <c r="E25" s="1530"/>
      <c r="F25" s="1535">
        <v>2</v>
      </c>
      <c r="G25" s="1521">
        <v>42978</v>
      </c>
      <c r="H25" s="1521">
        <v>43708</v>
      </c>
    </row>
    <row r="26" spans="1:8" ht="15" thickBot="1">
      <c r="A26" s="1524"/>
      <c r="B26" s="1531"/>
      <c r="C26" s="1532"/>
      <c r="D26" s="1531"/>
      <c r="E26" s="1532"/>
      <c r="F26" s="1536"/>
      <c r="G26" s="1522"/>
      <c r="H26" s="1522"/>
    </row>
    <row r="27" spans="1:8">
      <c r="A27" s="1523" t="s">
        <v>1234</v>
      </c>
      <c r="B27" s="1529" t="s">
        <v>1235</v>
      </c>
      <c r="C27" s="1530"/>
      <c r="D27" s="1529" t="s">
        <v>1236</v>
      </c>
      <c r="E27" s="1530"/>
      <c r="F27" s="1535">
        <v>2</v>
      </c>
      <c r="G27" s="1521">
        <v>43090</v>
      </c>
      <c r="H27" s="1521">
        <v>43820</v>
      </c>
    </row>
    <row r="28" spans="1:8" ht="15" thickBot="1">
      <c r="A28" s="1524"/>
      <c r="B28" s="1531"/>
      <c r="C28" s="1532"/>
      <c r="D28" s="1531"/>
      <c r="E28" s="1532"/>
      <c r="F28" s="1536"/>
      <c r="G28" s="1522"/>
      <c r="H28" s="1522"/>
    </row>
    <row r="29" spans="1:8">
      <c r="A29" s="1523" t="s">
        <v>1237</v>
      </c>
      <c r="B29" s="1529" t="s">
        <v>1238</v>
      </c>
      <c r="C29" s="1530"/>
      <c r="D29" s="1529" t="s">
        <v>1239</v>
      </c>
      <c r="E29" s="1530"/>
      <c r="F29" s="1535">
        <v>2</v>
      </c>
      <c r="G29" s="1521">
        <v>43090</v>
      </c>
      <c r="H29" s="1521">
        <v>43820</v>
      </c>
    </row>
    <row r="30" spans="1:8" ht="15" thickBot="1">
      <c r="A30" s="1524"/>
      <c r="B30" s="1531"/>
      <c r="C30" s="1532"/>
      <c r="D30" s="1531"/>
      <c r="E30" s="1532"/>
      <c r="F30" s="1536"/>
      <c r="G30" s="1522"/>
      <c r="H30" s="1522"/>
    </row>
    <row r="31" spans="1:8">
      <c r="A31" s="1523" t="s">
        <v>1240</v>
      </c>
      <c r="B31" s="1529" t="s">
        <v>1241</v>
      </c>
      <c r="C31" s="1530"/>
      <c r="D31" s="1529" t="s">
        <v>1242</v>
      </c>
      <c r="E31" s="1530"/>
      <c r="F31" s="1535">
        <v>1</v>
      </c>
      <c r="G31" s="1521">
        <v>43208</v>
      </c>
      <c r="H31" s="1521">
        <v>43573</v>
      </c>
    </row>
    <row r="32" spans="1:8" ht="15" thickBot="1">
      <c r="A32" s="1524"/>
      <c r="B32" s="1531"/>
      <c r="C32" s="1532"/>
      <c r="D32" s="1531"/>
      <c r="E32" s="1532"/>
      <c r="F32" s="1536"/>
      <c r="G32" s="1522"/>
      <c r="H32" s="1522"/>
    </row>
    <row r="33" spans="1:8">
      <c r="A33" s="1523" t="s">
        <v>1243</v>
      </c>
      <c r="B33" s="1529" t="s">
        <v>1244</v>
      </c>
      <c r="C33" s="1530"/>
      <c r="D33" s="1529" t="s">
        <v>1245</v>
      </c>
      <c r="E33" s="1530"/>
      <c r="F33" s="1535">
        <v>2</v>
      </c>
      <c r="G33" s="1521">
        <v>43073</v>
      </c>
      <c r="H33" s="1521">
        <v>43803</v>
      </c>
    </row>
    <row r="34" spans="1:8" ht="15" thickBot="1">
      <c r="A34" s="1524"/>
      <c r="B34" s="1531"/>
      <c r="C34" s="1532"/>
      <c r="D34" s="1531"/>
      <c r="E34" s="1532"/>
      <c r="F34" s="1536"/>
      <c r="G34" s="1522"/>
      <c r="H34" s="1522"/>
    </row>
    <row r="35" spans="1:8">
      <c r="A35" s="1523" t="s">
        <v>1246</v>
      </c>
      <c r="B35" s="1529" t="s">
        <v>1247</v>
      </c>
      <c r="C35" s="1530"/>
      <c r="D35" s="1529" t="s">
        <v>1248</v>
      </c>
      <c r="E35" s="1530"/>
      <c r="F35" s="1535">
        <v>2</v>
      </c>
      <c r="G35" s="1521">
        <v>43208</v>
      </c>
      <c r="H35" s="1521">
        <v>43573</v>
      </c>
    </row>
    <row r="36" spans="1:8" ht="15" thickBot="1">
      <c r="A36" s="1524"/>
      <c r="B36" s="1531"/>
      <c r="C36" s="1532"/>
      <c r="D36" s="1531"/>
      <c r="E36" s="1532"/>
      <c r="F36" s="1536"/>
      <c r="G36" s="1522"/>
      <c r="H36" s="1522"/>
    </row>
    <row r="37" spans="1:8" ht="15.75" thickBot="1">
      <c r="A37" s="583" t="s">
        <v>1249</v>
      </c>
      <c r="B37" s="1533" t="s">
        <v>1250</v>
      </c>
      <c r="C37" s="1534"/>
      <c r="D37" s="1510" t="s">
        <v>1251</v>
      </c>
      <c r="E37" s="1511"/>
      <c r="F37" s="586">
        <v>2</v>
      </c>
      <c r="G37" s="585">
        <v>42984</v>
      </c>
      <c r="H37" s="585">
        <v>43714</v>
      </c>
    </row>
    <row r="38" spans="1:8" ht="15.75" thickBot="1">
      <c r="A38" s="583" t="s">
        <v>1252</v>
      </c>
      <c r="B38" s="1510" t="s">
        <v>1253</v>
      </c>
      <c r="C38" s="1511"/>
      <c r="D38" s="1512">
        <v>42583</v>
      </c>
      <c r="E38" s="1513"/>
      <c r="F38" s="586">
        <v>4</v>
      </c>
      <c r="G38" s="585">
        <v>42365</v>
      </c>
      <c r="H38" s="585">
        <v>43826</v>
      </c>
    </row>
    <row r="39" spans="1:8" ht="15.75" thickBot="1">
      <c r="A39" s="583" t="s">
        <v>1254</v>
      </c>
      <c r="B39" s="1510" t="s">
        <v>1255</v>
      </c>
      <c r="C39" s="1511"/>
      <c r="D39" s="1510" t="s">
        <v>1256</v>
      </c>
      <c r="E39" s="1511"/>
      <c r="F39" s="586">
        <v>4</v>
      </c>
      <c r="G39" s="585">
        <v>42365</v>
      </c>
      <c r="H39" s="585">
        <v>43826</v>
      </c>
    </row>
    <row r="40" spans="1:8" ht="15.75" thickBot="1">
      <c r="A40" s="583" t="s">
        <v>1257</v>
      </c>
      <c r="B40" s="1510" t="s">
        <v>1258</v>
      </c>
      <c r="C40" s="1511"/>
      <c r="D40" s="1510" t="s">
        <v>1259</v>
      </c>
      <c r="E40" s="1511"/>
      <c r="F40" s="586">
        <v>3</v>
      </c>
      <c r="G40" s="585">
        <v>42430</v>
      </c>
      <c r="H40" s="585">
        <v>43525</v>
      </c>
    </row>
    <row r="41" spans="1:8" ht="15.75" thickBot="1">
      <c r="A41" s="583" t="s">
        <v>1260</v>
      </c>
      <c r="B41" s="1510" t="s">
        <v>1261</v>
      </c>
      <c r="C41" s="1511"/>
      <c r="D41" s="1510" t="s">
        <v>1262</v>
      </c>
      <c r="E41" s="1511"/>
      <c r="F41" s="586">
        <v>3</v>
      </c>
      <c r="G41" s="585">
        <v>42430</v>
      </c>
      <c r="H41" s="585">
        <v>43525</v>
      </c>
    </row>
    <row r="42" spans="1:8" ht="15.75" thickBot="1">
      <c r="A42" s="583" t="s">
        <v>1263</v>
      </c>
      <c r="B42" s="1510" t="s">
        <v>1264</v>
      </c>
      <c r="C42" s="1511"/>
      <c r="D42" s="1510" t="s">
        <v>1265</v>
      </c>
      <c r="E42" s="1511"/>
      <c r="F42" s="586">
        <v>3</v>
      </c>
      <c r="G42" s="585">
        <v>42479</v>
      </c>
      <c r="H42" s="585">
        <v>43574</v>
      </c>
    </row>
    <row r="43" spans="1:8" ht="15.75" thickBot="1">
      <c r="A43" s="583" t="s">
        <v>1266</v>
      </c>
      <c r="B43" s="1510" t="s">
        <v>1267</v>
      </c>
      <c r="C43" s="1511"/>
      <c r="D43" s="1510" t="s">
        <v>1268</v>
      </c>
      <c r="E43" s="1511"/>
      <c r="F43" s="586">
        <v>3</v>
      </c>
      <c r="G43" s="585">
        <v>42442</v>
      </c>
      <c r="H43" s="585">
        <v>43537</v>
      </c>
    </row>
    <row r="44" spans="1:8" ht="15">
      <c r="A44" s="1523" t="s">
        <v>1269</v>
      </c>
      <c r="B44" s="1525" t="s">
        <v>1270</v>
      </c>
      <c r="C44" s="1526"/>
      <c r="D44" s="1529" t="s">
        <v>1272</v>
      </c>
      <c r="E44" s="1530"/>
      <c r="F44" s="1519">
        <v>3</v>
      </c>
      <c r="G44" s="1521">
        <v>42442</v>
      </c>
      <c r="H44" s="1521">
        <v>43537</v>
      </c>
    </row>
    <row r="45" spans="1:8" ht="15.75" thickBot="1">
      <c r="A45" s="1524"/>
      <c r="B45" s="1527" t="s">
        <v>1271</v>
      </c>
      <c r="C45" s="1528"/>
      <c r="D45" s="1531"/>
      <c r="E45" s="1532"/>
      <c r="F45" s="1520"/>
      <c r="G45" s="1522"/>
      <c r="H45" s="1522"/>
    </row>
    <row r="46" spans="1:8" ht="15.75" thickBot="1">
      <c r="A46" s="583" t="s">
        <v>1273</v>
      </c>
      <c r="B46" s="1510" t="s">
        <v>1274</v>
      </c>
      <c r="C46" s="1511"/>
      <c r="D46" s="1510" t="s">
        <v>1275</v>
      </c>
      <c r="E46" s="1511"/>
      <c r="F46" s="586">
        <v>4</v>
      </c>
      <c r="G46" s="585">
        <v>42100</v>
      </c>
      <c r="H46" s="585">
        <v>43561</v>
      </c>
    </row>
    <row r="47" spans="1:8" ht="15.75" thickBot="1">
      <c r="A47" s="583" t="s">
        <v>1276</v>
      </c>
      <c r="B47" s="1510" t="s">
        <v>1277</v>
      </c>
      <c r="C47" s="1511"/>
      <c r="D47" s="1510" t="s">
        <v>1278</v>
      </c>
      <c r="E47" s="1511"/>
      <c r="F47" s="586">
        <v>4</v>
      </c>
      <c r="G47" s="585">
        <v>42099</v>
      </c>
      <c r="H47" s="585">
        <v>43560</v>
      </c>
    </row>
    <row r="48" spans="1:8" ht="15.75" thickBot="1">
      <c r="A48" s="583" t="s">
        <v>1279</v>
      </c>
      <c r="B48" s="1510" t="s">
        <v>1280</v>
      </c>
      <c r="C48" s="1511"/>
      <c r="D48" s="1510" t="s">
        <v>1281</v>
      </c>
      <c r="E48" s="1511"/>
      <c r="F48" s="586">
        <v>4</v>
      </c>
      <c r="G48" s="585">
        <v>42083</v>
      </c>
      <c r="H48" s="585">
        <v>43544</v>
      </c>
    </row>
    <row r="49" spans="1:8" ht="15.75" thickBot="1">
      <c r="A49" s="583" t="s">
        <v>1282</v>
      </c>
      <c r="B49" s="1510" t="s">
        <v>1283</v>
      </c>
      <c r="C49" s="1511"/>
      <c r="D49" s="1510" t="s">
        <v>1284</v>
      </c>
      <c r="E49" s="1511"/>
      <c r="F49" s="586">
        <v>4</v>
      </c>
      <c r="G49" s="585">
        <v>42098</v>
      </c>
      <c r="H49" s="585">
        <v>43559</v>
      </c>
    </row>
    <row r="50" spans="1:8" ht="15.75" thickBot="1">
      <c r="A50" s="583" t="s">
        <v>1285</v>
      </c>
      <c r="B50" s="1510" t="s">
        <v>1286</v>
      </c>
      <c r="C50" s="1511"/>
      <c r="D50" s="1510" t="s">
        <v>1287</v>
      </c>
      <c r="E50" s="1511"/>
      <c r="F50" s="586">
        <v>4</v>
      </c>
      <c r="G50" s="585">
        <v>42097</v>
      </c>
      <c r="H50" s="585">
        <v>43558</v>
      </c>
    </row>
    <row r="51" spans="1:8" ht="15.75" thickBot="1">
      <c r="A51" s="583" t="s">
        <v>1288</v>
      </c>
      <c r="B51" s="1510" t="s">
        <v>1289</v>
      </c>
      <c r="C51" s="1511"/>
      <c r="D51" s="1510" t="s">
        <v>1290</v>
      </c>
      <c r="E51" s="1511"/>
      <c r="F51" s="586">
        <v>4</v>
      </c>
      <c r="G51" s="585">
        <v>42141</v>
      </c>
      <c r="H51" s="585">
        <v>43602</v>
      </c>
    </row>
    <row r="52" spans="1:8" ht="15.75" thickBot="1">
      <c r="A52" s="583" t="s">
        <v>1291</v>
      </c>
      <c r="B52" s="1510" t="s">
        <v>1292</v>
      </c>
      <c r="C52" s="1511"/>
      <c r="D52" s="1510" t="s">
        <v>1293</v>
      </c>
      <c r="E52" s="1511"/>
      <c r="F52" s="586">
        <v>4</v>
      </c>
      <c r="G52" s="585">
        <v>42204</v>
      </c>
      <c r="H52" s="585">
        <v>43665</v>
      </c>
    </row>
    <row r="53" spans="1:8" ht="15.75" thickBot="1">
      <c r="A53" s="583" t="s">
        <v>1294</v>
      </c>
      <c r="B53" s="1510" t="s">
        <v>1295</v>
      </c>
      <c r="C53" s="1511"/>
      <c r="D53" s="1510" t="s">
        <v>1296</v>
      </c>
      <c r="E53" s="1511"/>
      <c r="F53" s="586">
        <v>4</v>
      </c>
      <c r="G53" s="585">
        <v>42176</v>
      </c>
      <c r="H53" s="585">
        <v>43637</v>
      </c>
    </row>
    <row r="54" spans="1:8" ht="15.75" thickBot="1">
      <c r="A54" s="583" t="s">
        <v>1297</v>
      </c>
      <c r="B54" s="1510" t="s">
        <v>1298</v>
      </c>
      <c r="C54" s="1511"/>
      <c r="D54" s="1510" t="s">
        <v>1299</v>
      </c>
      <c r="E54" s="1511"/>
      <c r="F54" s="586">
        <v>4</v>
      </c>
      <c r="G54" s="585">
        <v>42208</v>
      </c>
      <c r="H54" s="585">
        <v>43669</v>
      </c>
    </row>
    <row r="55" spans="1:8" ht="15.75" thickBot="1">
      <c r="A55" s="583" t="s">
        <v>1300</v>
      </c>
      <c r="B55" s="1510" t="s">
        <v>1301</v>
      </c>
      <c r="C55" s="1511"/>
      <c r="D55" s="1510" t="s">
        <v>1302</v>
      </c>
      <c r="E55" s="1511"/>
      <c r="F55" s="586">
        <v>4</v>
      </c>
      <c r="G55" s="585">
        <v>42272</v>
      </c>
      <c r="H55" s="585">
        <v>43733</v>
      </c>
    </row>
    <row r="56" spans="1:8" ht="16.5" thickBot="1">
      <c r="A56" s="1516" t="s">
        <v>1303</v>
      </c>
      <c r="B56" s="1517"/>
      <c r="C56" s="1517"/>
      <c r="D56" s="1517"/>
      <c r="E56" s="1517"/>
      <c r="F56" s="1517"/>
      <c r="G56" s="1517"/>
      <c r="H56" s="1518"/>
    </row>
    <row r="57" spans="1:8" ht="15.75" thickBot="1">
      <c r="A57" s="583" t="s">
        <v>1304</v>
      </c>
      <c r="B57" s="1510" t="s">
        <v>1305</v>
      </c>
      <c r="C57" s="1511"/>
      <c r="D57" s="1510" t="s">
        <v>1306</v>
      </c>
      <c r="E57" s="1511"/>
      <c r="F57" s="586">
        <v>3</v>
      </c>
      <c r="G57" s="585">
        <v>42442</v>
      </c>
      <c r="H57" s="585">
        <v>43537</v>
      </c>
    </row>
    <row r="58" spans="1:8" ht="15.75" thickBot="1">
      <c r="A58" s="583" t="s">
        <v>1307</v>
      </c>
      <c r="B58" s="1510" t="s">
        <v>1308</v>
      </c>
      <c r="C58" s="1511"/>
      <c r="D58" s="1510" t="s">
        <v>1309</v>
      </c>
      <c r="E58" s="1511"/>
      <c r="F58" s="586">
        <v>4</v>
      </c>
      <c r="G58" s="585">
        <v>42086</v>
      </c>
      <c r="H58" s="585">
        <v>43547</v>
      </c>
    </row>
    <row r="59" spans="1:8" ht="16.5" thickBot="1">
      <c r="A59" s="1516" t="s">
        <v>1310</v>
      </c>
      <c r="B59" s="1517"/>
      <c r="C59" s="1517"/>
      <c r="D59" s="1517"/>
      <c r="E59" s="1517"/>
      <c r="F59" s="1517"/>
      <c r="G59" s="1517"/>
      <c r="H59" s="1518"/>
    </row>
    <row r="60" spans="1:8" ht="15.75" thickBot="1">
      <c r="A60" s="583" t="s">
        <v>1311</v>
      </c>
      <c r="B60" s="1510" t="s">
        <v>1312</v>
      </c>
      <c r="C60" s="1511"/>
      <c r="D60" s="1514">
        <v>42924</v>
      </c>
      <c r="E60" s="1515"/>
      <c r="F60" s="586">
        <v>2</v>
      </c>
      <c r="G60" s="586" t="s">
        <v>1313</v>
      </c>
      <c r="H60" s="585">
        <v>43654</v>
      </c>
    </row>
    <row r="61" spans="1:8" ht="15.75" thickBot="1">
      <c r="A61" s="583" t="s">
        <v>1314</v>
      </c>
      <c r="B61" s="1510" t="s">
        <v>1315</v>
      </c>
      <c r="C61" s="1511"/>
      <c r="D61" s="1514">
        <v>42818</v>
      </c>
      <c r="E61" s="1515"/>
      <c r="F61" s="586">
        <v>2</v>
      </c>
      <c r="G61" s="586" t="s">
        <v>1316</v>
      </c>
      <c r="H61" s="585">
        <v>43548</v>
      </c>
    </row>
    <row r="62" spans="1:8" ht="15.75" thickBot="1">
      <c r="A62" s="583" t="s">
        <v>1317</v>
      </c>
      <c r="B62" s="1510" t="s">
        <v>1318</v>
      </c>
      <c r="C62" s="1511"/>
      <c r="D62" s="1514">
        <v>42818</v>
      </c>
      <c r="E62" s="1515"/>
      <c r="F62" s="586">
        <v>2</v>
      </c>
      <c r="G62" s="586" t="s">
        <v>1319</v>
      </c>
      <c r="H62" s="585">
        <v>43548</v>
      </c>
    </row>
    <row r="63" spans="1:8" ht="15.75" thickBot="1">
      <c r="A63" s="583" t="s">
        <v>1320</v>
      </c>
      <c r="B63" s="1510" t="s">
        <v>1321</v>
      </c>
      <c r="C63" s="1511"/>
      <c r="D63" s="1514">
        <v>42737</v>
      </c>
      <c r="E63" s="1515"/>
      <c r="F63" s="586">
        <v>2</v>
      </c>
      <c r="G63" s="586" t="s">
        <v>1322</v>
      </c>
      <c r="H63" s="585">
        <v>43467</v>
      </c>
    </row>
    <row r="64" spans="1:8" ht="15.75" thickBot="1">
      <c r="A64" s="583" t="s">
        <v>1323</v>
      </c>
      <c r="B64" s="1510" t="s">
        <v>1324</v>
      </c>
      <c r="C64" s="1511"/>
      <c r="D64" s="1514">
        <v>42735</v>
      </c>
      <c r="E64" s="1515"/>
      <c r="F64" s="586">
        <v>3</v>
      </c>
      <c r="G64" s="587">
        <v>42736</v>
      </c>
      <c r="H64" s="585">
        <v>43830</v>
      </c>
    </row>
    <row r="65" spans="1:8" ht="15.75" thickBot="1">
      <c r="A65" s="583" t="s">
        <v>1325</v>
      </c>
      <c r="B65" s="1510" t="s">
        <v>1326</v>
      </c>
      <c r="C65" s="1511"/>
      <c r="D65" s="1514">
        <v>42747</v>
      </c>
      <c r="E65" s="1515"/>
      <c r="F65" s="586">
        <v>2</v>
      </c>
      <c r="G65" s="587">
        <v>42795</v>
      </c>
      <c r="H65" s="585">
        <v>43477</v>
      </c>
    </row>
    <row r="66" spans="1:8" ht="15.75" thickBot="1">
      <c r="A66" s="583" t="s">
        <v>1327</v>
      </c>
      <c r="B66" s="1510" t="s">
        <v>1328</v>
      </c>
      <c r="C66" s="1511"/>
      <c r="D66" s="1514">
        <v>42747</v>
      </c>
      <c r="E66" s="1515"/>
      <c r="F66" s="586">
        <v>2</v>
      </c>
      <c r="G66" s="587">
        <v>42826</v>
      </c>
      <c r="H66" s="585">
        <v>43477</v>
      </c>
    </row>
    <row r="67" spans="1:8" ht="15.75" thickBot="1">
      <c r="A67" s="583" t="s">
        <v>1329</v>
      </c>
      <c r="B67" s="1510" t="s">
        <v>1330</v>
      </c>
      <c r="C67" s="1511"/>
      <c r="D67" s="1514">
        <v>42747</v>
      </c>
      <c r="E67" s="1515"/>
      <c r="F67" s="586">
        <v>2</v>
      </c>
      <c r="G67" s="587">
        <v>42856</v>
      </c>
      <c r="H67" s="585">
        <v>43477</v>
      </c>
    </row>
    <row r="68" spans="1:8" ht="15.75" thickBot="1">
      <c r="A68" s="583" t="s">
        <v>1331</v>
      </c>
      <c r="B68" s="1510" t="s">
        <v>1332</v>
      </c>
      <c r="C68" s="1511"/>
      <c r="D68" s="1514">
        <v>42747</v>
      </c>
      <c r="E68" s="1515"/>
      <c r="F68" s="586">
        <v>2</v>
      </c>
      <c r="G68" s="587">
        <v>42887</v>
      </c>
      <c r="H68" s="585">
        <v>43477</v>
      </c>
    </row>
    <row r="69" spans="1:8" ht="15.75" thickBot="1">
      <c r="A69" s="583" t="s">
        <v>1333</v>
      </c>
      <c r="B69" s="1510" t="s">
        <v>1334</v>
      </c>
      <c r="C69" s="1511"/>
      <c r="D69" s="1514">
        <v>42747</v>
      </c>
      <c r="E69" s="1515"/>
      <c r="F69" s="586">
        <v>2</v>
      </c>
      <c r="G69" s="587">
        <v>42917</v>
      </c>
      <c r="H69" s="585">
        <v>43477</v>
      </c>
    </row>
    <row r="70" spans="1:8" ht="15.75" thickBot="1">
      <c r="A70" s="583" t="s">
        <v>1335</v>
      </c>
      <c r="B70" s="1510" t="s">
        <v>1336</v>
      </c>
      <c r="C70" s="1511"/>
      <c r="D70" s="1514">
        <v>42747</v>
      </c>
      <c r="E70" s="1515"/>
      <c r="F70" s="586">
        <v>2</v>
      </c>
      <c r="G70" s="587">
        <v>42948</v>
      </c>
      <c r="H70" s="585">
        <v>43477</v>
      </c>
    </row>
    <row r="71" spans="1:8" ht="15.75" thickBot="1">
      <c r="A71" s="583" t="s">
        <v>1337</v>
      </c>
      <c r="B71" s="1510" t="s">
        <v>1338</v>
      </c>
      <c r="C71" s="1511"/>
      <c r="D71" s="1514">
        <v>42747</v>
      </c>
      <c r="E71" s="1515"/>
      <c r="F71" s="586">
        <v>2</v>
      </c>
      <c r="G71" s="587">
        <v>43009</v>
      </c>
      <c r="H71" s="585">
        <v>43477</v>
      </c>
    </row>
    <row r="72" spans="1:8" ht="15.75" thickBot="1">
      <c r="A72" s="583" t="s">
        <v>1339</v>
      </c>
      <c r="B72" s="1510" t="s">
        <v>1340</v>
      </c>
      <c r="C72" s="1511"/>
      <c r="D72" s="1514">
        <v>42747</v>
      </c>
      <c r="E72" s="1515"/>
      <c r="F72" s="586">
        <v>2</v>
      </c>
      <c r="G72" s="587">
        <v>43040</v>
      </c>
      <c r="H72" s="585">
        <v>43477</v>
      </c>
    </row>
    <row r="73" spans="1:8" ht="15.75" thickBot="1">
      <c r="A73" s="583" t="s">
        <v>1341</v>
      </c>
      <c r="B73" s="1510" t="s">
        <v>1342</v>
      </c>
      <c r="C73" s="1511"/>
      <c r="D73" s="1514">
        <v>42735</v>
      </c>
      <c r="E73" s="1515"/>
      <c r="F73" s="586">
        <v>3</v>
      </c>
      <c r="G73" s="587">
        <v>43070</v>
      </c>
      <c r="H73" s="585">
        <v>43830</v>
      </c>
    </row>
    <row r="74" spans="1:8" ht="15.75" thickBot="1">
      <c r="A74" s="583" t="s">
        <v>1343</v>
      </c>
      <c r="B74" s="1510" t="s">
        <v>1344</v>
      </c>
      <c r="C74" s="1511"/>
      <c r="D74" s="1514">
        <v>42747</v>
      </c>
      <c r="E74" s="1515"/>
      <c r="F74" s="586">
        <v>2</v>
      </c>
      <c r="G74" s="586" t="s">
        <v>1345</v>
      </c>
      <c r="H74" s="585">
        <v>43477</v>
      </c>
    </row>
    <row r="75" spans="1:8" ht="15.75" thickBot="1">
      <c r="A75" s="583" t="s">
        <v>1346</v>
      </c>
      <c r="B75" s="1510" t="s">
        <v>1347</v>
      </c>
      <c r="C75" s="1511"/>
      <c r="D75" s="1514">
        <v>42747</v>
      </c>
      <c r="E75" s="1515"/>
      <c r="F75" s="586">
        <v>2</v>
      </c>
      <c r="G75" s="586" t="s">
        <v>1348</v>
      </c>
      <c r="H75" s="585">
        <v>43477</v>
      </c>
    </row>
    <row r="76" spans="1:8" ht="15.75" thickBot="1">
      <c r="A76" s="583" t="s">
        <v>1349</v>
      </c>
      <c r="B76" s="1510" t="s">
        <v>1350</v>
      </c>
      <c r="C76" s="1511"/>
      <c r="D76" s="1514">
        <v>42735</v>
      </c>
      <c r="E76" s="1515"/>
      <c r="F76" s="586">
        <v>3</v>
      </c>
      <c r="G76" s="586" t="s">
        <v>1351</v>
      </c>
      <c r="H76" s="585">
        <v>43830</v>
      </c>
    </row>
    <row r="77" spans="1:8" ht="15.75" thickBot="1">
      <c r="A77" s="583" t="s">
        <v>1352</v>
      </c>
      <c r="B77" s="1510" t="s">
        <v>1353</v>
      </c>
      <c r="C77" s="1511"/>
      <c r="D77" s="1514">
        <v>42747</v>
      </c>
      <c r="E77" s="1515"/>
      <c r="F77" s="586">
        <v>2</v>
      </c>
      <c r="G77" s="586" t="s">
        <v>1354</v>
      </c>
      <c r="H77" s="585">
        <v>43477</v>
      </c>
    </row>
    <row r="78" spans="1:8" ht="15.75" thickBot="1">
      <c r="A78" s="583" t="s">
        <v>1355</v>
      </c>
      <c r="B78" s="1510" t="s">
        <v>1356</v>
      </c>
      <c r="C78" s="1511"/>
      <c r="D78" s="1514">
        <v>42978</v>
      </c>
      <c r="E78" s="1515"/>
      <c r="F78" s="586">
        <v>2</v>
      </c>
      <c r="G78" s="586" t="s">
        <v>1357</v>
      </c>
      <c r="H78" s="585">
        <v>43708</v>
      </c>
    </row>
    <row r="79" spans="1:8" ht="15.75" thickBot="1">
      <c r="A79" s="583" t="s">
        <v>1358</v>
      </c>
      <c r="B79" s="1510" t="s">
        <v>1359</v>
      </c>
      <c r="C79" s="1511"/>
      <c r="D79" s="1514">
        <v>42978</v>
      </c>
      <c r="E79" s="1515"/>
      <c r="F79" s="586">
        <v>2</v>
      </c>
      <c r="G79" s="586" t="s">
        <v>1360</v>
      </c>
      <c r="H79" s="585">
        <v>43708</v>
      </c>
    </row>
    <row r="80" spans="1:8" ht="15.75" thickBot="1">
      <c r="A80" s="583" t="s">
        <v>1361</v>
      </c>
      <c r="B80" s="1510" t="s">
        <v>1362</v>
      </c>
      <c r="C80" s="1511"/>
      <c r="D80" s="1514">
        <v>43035</v>
      </c>
      <c r="E80" s="1515"/>
      <c r="F80" s="586">
        <v>2</v>
      </c>
      <c r="G80" s="586" t="s">
        <v>1363</v>
      </c>
      <c r="H80" s="585">
        <v>43765</v>
      </c>
    </row>
    <row r="81" spans="1:8" ht="15.75" thickBot="1">
      <c r="A81" s="583" t="s">
        <v>1364</v>
      </c>
      <c r="B81" s="1510" t="s">
        <v>1365</v>
      </c>
      <c r="C81" s="1511"/>
      <c r="D81" s="1514">
        <v>43035</v>
      </c>
      <c r="E81" s="1515"/>
      <c r="F81" s="586">
        <v>2</v>
      </c>
      <c r="G81" s="586" t="s">
        <v>1366</v>
      </c>
      <c r="H81" s="585">
        <v>43765</v>
      </c>
    </row>
    <row r="82" spans="1:8" ht="15.75" thickBot="1">
      <c r="A82" s="583" t="s">
        <v>1367</v>
      </c>
      <c r="B82" s="1510" t="s">
        <v>1368</v>
      </c>
      <c r="C82" s="1511"/>
      <c r="D82" s="1514">
        <v>43035</v>
      </c>
      <c r="E82" s="1515"/>
      <c r="F82" s="586">
        <v>2</v>
      </c>
      <c r="G82" s="586" t="s">
        <v>1369</v>
      </c>
      <c r="H82" s="585">
        <v>43765</v>
      </c>
    </row>
    <row r="83" spans="1:8" ht="15.75" thickBot="1">
      <c r="A83" s="583" t="s">
        <v>1370</v>
      </c>
      <c r="B83" s="1510" t="s">
        <v>1371</v>
      </c>
      <c r="C83" s="1511"/>
      <c r="D83" s="1514">
        <v>43035</v>
      </c>
      <c r="E83" s="1515"/>
      <c r="F83" s="586">
        <v>2</v>
      </c>
      <c r="G83" s="586" t="s">
        <v>1372</v>
      </c>
      <c r="H83" s="585">
        <v>43765</v>
      </c>
    </row>
    <row r="84" spans="1:8" ht="15.75" thickBot="1">
      <c r="A84" s="583" t="s">
        <v>1373</v>
      </c>
      <c r="B84" s="1510" t="s">
        <v>1374</v>
      </c>
      <c r="C84" s="1511"/>
      <c r="D84" s="1514">
        <v>43090</v>
      </c>
      <c r="E84" s="1515"/>
      <c r="F84" s="586">
        <v>2</v>
      </c>
      <c r="G84" s="586" t="s">
        <v>1375</v>
      </c>
      <c r="H84" s="585">
        <v>43820</v>
      </c>
    </row>
    <row r="85" spans="1:8" ht="15.75" thickBot="1">
      <c r="A85" s="583" t="s">
        <v>1376</v>
      </c>
      <c r="B85" s="1510" t="s">
        <v>1377</v>
      </c>
      <c r="C85" s="1511"/>
      <c r="D85" s="1514">
        <v>43090</v>
      </c>
      <c r="E85" s="1515"/>
      <c r="F85" s="586">
        <v>2</v>
      </c>
      <c r="G85" s="586" t="s">
        <v>1378</v>
      </c>
      <c r="H85" s="585">
        <v>43820</v>
      </c>
    </row>
    <row r="86" spans="1:8" ht="15.75" thickBot="1">
      <c r="A86" s="583" t="s">
        <v>1379</v>
      </c>
      <c r="B86" s="1510" t="s">
        <v>1380</v>
      </c>
      <c r="C86" s="1511"/>
      <c r="D86" s="1510" t="s">
        <v>1381</v>
      </c>
      <c r="E86" s="1511"/>
      <c r="F86" s="586">
        <v>1</v>
      </c>
      <c r="G86" s="585">
        <v>43208</v>
      </c>
      <c r="H86" s="585">
        <v>43573</v>
      </c>
    </row>
    <row r="87" spans="1:8" ht="15.75" thickBot="1">
      <c r="A87" s="583" t="s">
        <v>1382</v>
      </c>
      <c r="B87" s="1510" t="s">
        <v>1383</v>
      </c>
      <c r="C87" s="1511"/>
      <c r="D87" s="1512">
        <v>42461</v>
      </c>
      <c r="E87" s="1513"/>
      <c r="F87" s="586">
        <v>4</v>
      </c>
      <c r="G87" s="585">
        <v>42361</v>
      </c>
      <c r="H87" s="585">
        <v>43822</v>
      </c>
    </row>
    <row r="88" spans="1:8" ht="15.75" thickBot="1">
      <c r="A88" s="583" t="s">
        <v>1384</v>
      </c>
      <c r="B88" s="1510" t="s">
        <v>1385</v>
      </c>
      <c r="C88" s="1511"/>
      <c r="D88" s="1510" t="s">
        <v>1386</v>
      </c>
      <c r="E88" s="1511"/>
      <c r="F88" s="586">
        <v>4</v>
      </c>
      <c r="G88" s="585">
        <v>42115</v>
      </c>
      <c r="H88" s="585">
        <v>43576</v>
      </c>
    </row>
    <row r="89" spans="1:8" ht="15.75" thickBot="1">
      <c r="A89" s="583" t="s">
        <v>1387</v>
      </c>
      <c r="B89" s="1510" t="s">
        <v>1388</v>
      </c>
      <c r="C89" s="1511"/>
      <c r="D89" s="1510" t="s">
        <v>1348</v>
      </c>
      <c r="E89" s="1511"/>
      <c r="F89" s="586">
        <v>2</v>
      </c>
      <c r="G89" s="585">
        <v>42747</v>
      </c>
      <c r="H89" s="585">
        <v>43477</v>
      </c>
    </row>
    <row r="90" spans="1:8" ht="15.75" thickBot="1">
      <c r="A90" s="583" t="s">
        <v>1389</v>
      </c>
      <c r="B90" s="1510" t="s">
        <v>1390</v>
      </c>
      <c r="C90" s="1511"/>
      <c r="D90" s="1510" t="s">
        <v>1391</v>
      </c>
      <c r="E90" s="1511"/>
      <c r="F90" s="586">
        <v>4</v>
      </c>
      <c r="G90" s="585">
        <v>42106</v>
      </c>
      <c r="H90" s="585">
        <v>43567</v>
      </c>
    </row>
    <row r="91" spans="1:8" ht="15.75" thickBot="1">
      <c r="A91" s="583" t="s">
        <v>1392</v>
      </c>
      <c r="B91" s="1510" t="s">
        <v>1393</v>
      </c>
      <c r="C91" s="1511"/>
      <c r="D91" s="1510" t="s">
        <v>1394</v>
      </c>
      <c r="E91" s="1511"/>
      <c r="F91" s="586">
        <v>4</v>
      </c>
      <c r="G91" s="585">
        <v>42086</v>
      </c>
      <c r="H91" s="585">
        <v>43547</v>
      </c>
    </row>
    <row r="92" spans="1:8" ht="15.75" thickBot="1">
      <c r="A92" s="583" t="s">
        <v>1395</v>
      </c>
      <c r="B92" s="1510" t="s">
        <v>1396</v>
      </c>
      <c r="C92" s="1511"/>
      <c r="D92" s="1510" t="s">
        <v>1397</v>
      </c>
      <c r="E92" s="1511"/>
      <c r="F92" s="586">
        <v>3</v>
      </c>
      <c r="G92" s="585">
        <v>42457</v>
      </c>
      <c r="H92" s="585">
        <v>43552</v>
      </c>
    </row>
    <row r="93" spans="1:8" ht="15">
      <c r="A93" s="13"/>
      <c r="B93" s="13"/>
      <c r="C93" s="13"/>
      <c r="D93" s="13"/>
      <c r="E93" s="13"/>
      <c r="F93" s="13"/>
      <c r="G93" s="13"/>
      <c r="H93" s="13"/>
    </row>
    <row r="94" spans="1:8" ht="15">
      <c r="A94" s="588"/>
    </row>
    <row r="95" spans="1:8" ht="15">
      <c r="A95" s="588" t="s">
        <v>1398</v>
      </c>
      <c r="D95" s="588" t="s">
        <v>1399</v>
      </c>
    </row>
  </sheetData>
  <mergeCells count="200">
    <mergeCell ref="A6:A8"/>
    <mergeCell ref="B6:B8"/>
    <mergeCell ref="C6:D8"/>
    <mergeCell ref="E6:H6"/>
    <mergeCell ref="E7:F7"/>
    <mergeCell ref="E8:F8"/>
    <mergeCell ref="G7:G8"/>
    <mergeCell ref="H7:H8"/>
    <mergeCell ref="H12:H13"/>
    <mergeCell ref="A14:A15"/>
    <mergeCell ref="B14:C15"/>
    <mergeCell ref="D14:E15"/>
    <mergeCell ref="F14:F15"/>
    <mergeCell ref="G14:G15"/>
    <mergeCell ref="H14:H15"/>
    <mergeCell ref="A9:H9"/>
    <mergeCell ref="B10:C10"/>
    <mergeCell ref="D10:E10"/>
    <mergeCell ref="B11:C11"/>
    <mergeCell ref="D11:E11"/>
    <mergeCell ref="A12:A13"/>
    <mergeCell ref="B12:C13"/>
    <mergeCell ref="D12:E13"/>
    <mergeCell ref="F12:F13"/>
    <mergeCell ref="G12:G13"/>
    <mergeCell ref="G20:G21"/>
    <mergeCell ref="H20:H21"/>
    <mergeCell ref="A18:A19"/>
    <mergeCell ref="B18:C19"/>
    <mergeCell ref="D18:E19"/>
    <mergeCell ref="F18:F19"/>
    <mergeCell ref="G18:G19"/>
    <mergeCell ref="H18:H19"/>
    <mergeCell ref="A16:A17"/>
    <mergeCell ref="B16:C17"/>
    <mergeCell ref="D16:E17"/>
    <mergeCell ref="F16:F17"/>
    <mergeCell ref="G16:G17"/>
    <mergeCell ref="H16:H17"/>
    <mergeCell ref="B22:C22"/>
    <mergeCell ref="D22:E22"/>
    <mergeCell ref="A23:A24"/>
    <mergeCell ref="B23:C24"/>
    <mergeCell ref="D23:E24"/>
    <mergeCell ref="F23:F24"/>
    <mergeCell ref="A20:A21"/>
    <mergeCell ref="B20:C21"/>
    <mergeCell ref="D20:E21"/>
    <mergeCell ref="F20:F21"/>
    <mergeCell ref="A27:A28"/>
    <mergeCell ref="B27:C28"/>
    <mergeCell ref="D27:E28"/>
    <mergeCell ref="F27:F28"/>
    <mergeCell ref="G27:G28"/>
    <mergeCell ref="H27:H28"/>
    <mergeCell ref="G23:G24"/>
    <mergeCell ref="H23:H24"/>
    <mergeCell ref="A25:A26"/>
    <mergeCell ref="B25:C26"/>
    <mergeCell ref="D25:E26"/>
    <mergeCell ref="F25:F26"/>
    <mergeCell ref="G25:G26"/>
    <mergeCell ref="H25:H26"/>
    <mergeCell ref="A31:A32"/>
    <mergeCell ref="B31:C32"/>
    <mergeCell ref="D31:E32"/>
    <mergeCell ref="F31:F32"/>
    <mergeCell ref="G31:G32"/>
    <mergeCell ref="H31:H32"/>
    <mergeCell ref="A29:A30"/>
    <mergeCell ref="B29:C30"/>
    <mergeCell ref="D29:E30"/>
    <mergeCell ref="F29:F30"/>
    <mergeCell ref="G29:G30"/>
    <mergeCell ref="H29:H30"/>
    <mergeCell ref="F35:F36"/>
    <mergeCell ref="G35:G36"/>
    <mergeCell ref="H35:H36"/>
    <mergeCell ref="A33:A34"/>
    <mergeCell ref="B33:C34"/>
    <mergeCell ref="D33:E34"/>
    <mergeCell ref="F33:F34"/>
    <mergeCell ref="G33:G34"/>
    <mergeCell ref="H33:H34"/>
    <mergeCell ref="B37:C37"/>
    <mergeCell ref="D37:E37"/>
    <mergeCell ref="B38:C38"/>
    <mergeCell ref="D38:E38"/>
    <mergeCell ref="B39:C39"/>
    <mergeCell ref="D39:E39"/>
    <mergeCell ref="A35:A36"/>
    <mergeCell ref="B35:C36"/>
    <mergeCell ref="D35:E36"/>
    <mergeCell ref="A44:A45"/>
    <mergeCell ref="B44:C44"/>
    <mergeCell ref="B45:C45"/>
    <mergeCell ref="D44:E45"/>
    <mergeCell ref="B40:C40"/>
    <mergeCell ref="D40:E40"/>
    <mergeCell ref="B41:C41"/>
    <mergeCell ref="D41:E41"/>
    <mergeCell ref="B42:C42"/>
    <mergeCell ref="D42:E42"/>
    <mergeCell ref="F44:F45"/>
    <mergeCell ref="G44:G45"/>
    <mergeCell ref="H44:H45"/>
    <mergeCell ref="B46:C46"/>
    <mergeCell ref="D46:E46"/>
    <mergeCell ref="B47:C47"/>
    <mergeCell ref="D47:E47"/>
    <mergeCell ref="B43:C43"/>
    <mergeCell ref="D43:E43"/>
    <mergeCell ref="B51:C51"/>
    <mergeCell ref="D51:E51"/>
    <mergeCell ref="B52:C52"/>
    <mergeCell ref="D52:E52"/>
    <mergeCell ref="B53:C53"/>
    <mergeCell ref="D53:E53"/>
    <mergeCell ref="B48:C48"/>
    <mergeCell ref="D48:E48"/>
    <mergeCell ref="B49:C49"/>
    <mergeCell ref="D49:E49"/>
    <mergeCell ref="B50:C50"/>
    <mergeCell ref="D50:E50"/>
    <mergeCell ref="B58:C58"/>
    <mergeCell ref="D58:E58"/>
    <mergeCell ref="A59:H59"/>
    <mergeCell ref="B60:C60"/>
    <mergeCell ref="D60:E60"/>
    <mergeCell ref="B61:C61"/>
    <mergeCell ref="D61:E61"/>
    <mergeCell ref="B54:C54"/>
    <mergeCell ref="D54:E54"/>
    <mergeCell ref="B55:C55"/>
    <mergeCell ref="D55:E55"/>
    <mergeCell ref="A56:H56"/>
    <mergeCell ref="B57:C57"/>
    <mergeCell ref="D57:E57"/>
    <mergeCell ref="B65:C65"/>
    <mergeCell ref="D65:E65"/>
    <mergeCell ref="B66:C66"/>
    <mergeCell ref="D66:E66"/>
    <mergeCell ref="B67:C67"/>
    <mergeCell ref="D67:E67"/>
    <mergeCell ref="B62:C62"/>
    <mergeCell ref="D62:E62"/>
    <mergeCell ref="B63:C63"/>
    <mergeCell ref="D63:E63"/>
    <mergeCell ref="B64:C64"/>
    <mergeCell ref="D64:E64"/>
    <mergeCell ref="B71:C71"/>
    <mergeCell ref="D71:E71"/>
    <mergeCell ref="B72:C72"/>
    <mergeCell ref="D72:E72"/>
    <mergeCell ref="B73:C73"/>
    <mergeCell ref="D73:E73"/>
    <mergeCell ref="B68:C68"/>
    <mergeCell ref="D68:E68"/>
    <mergeCell ref="B69:C69"/>
    <mergeCell ref="D69:E69"/>
    <mergeCell ref="B70:C70"/>
    <mergeCell ref="D70:E70"/>
    <mergeCell ref="B77:C77"/>
    <mergeCell ref="D77:E77"/>
    <mergeCell ref="B78:C78"/>
    <mergeCell ref="D78:E78"/>
    <mergeCell ref="B79:C79"/>
    <mergeCell ref="D79:E79"/>
    <mergeCell ref="B74:C74"/>
    <mergeCell ref="D74:E74"/>
    <mergeCell ref="B75:C75"/>
    <mergeCell ref="D75:E75"/>
    <mergeCell ref="B76:C76"/>
    <mergeCell ref="D76:E76"/>
    <mergeCell ref="B83:C83"/>
    <mergeCell ref="D83:E83"/>
    <mergeCell ref="B84:C84"/>
    <mergeCell ref="D84:E84"/>
    <mergeCell ref="B85:C85"/>
    <mergeCell ref="D85:E85"/>
    <mergeCell ref="B80:C80"/>
    <mergeCell ref="D80:E80"/>
    <mergeCell ref="B81:C81"/>
    <mergeCell ref="D81:E81"/>
    <mergeCell ref="B82:C82"/>
    <mergeCell ref="D82:E82"/>
    <mergeCell ref="B92:C92"/>
    <mergeCell ref="D92:E92"/>
    <mergeCell ref="B89:C89"/>
    <mergeCell ref="D89:E89"/>
    <mergeCell ref="B90:C90"/>
    <mergeCell ref="D90:E90"/>
    <mergeCell ref="B91:C91"/>
    <mergeCell ref="D91:E91"/>
    <mergeCell ref="B86:C86"/>
    <mergeCell ref="D86:E86"/>
    <mergeCell ref="B87:C87"/>
    <mergeCell ref="D87:E87"/>
    <mergeCell ref="B88:C88"/>
    <mergeCell ref="D88:E8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4"/>
  <sheetViews>
    <sheetView zoomScale="90" zoomScaleNormal="90" workbookViewId="0">
      <pane xSplit="3" ySplit="6" topLeftCell="D76" activePane="bottomRight" state="frozen"/>
      <selection pane="topRight" activeCell="D1" sqref="D1"/>
      <selection pane="bottomLeft" activeCell="A7" sqref="A7"/>
      <selection pane="bottomRight" activeCell="AA91" sqref="AA91"/>
    </sheetView>
  </sheetViews>
  <sheetFormatPr defaultRowHeight="14.25"/>
  <cols>
    <col min="1" max="1" width="3" bestFit="1" customWidth="1"/>
    <col min="2" max="2" width="13.85546875" bestFit="1" customWidth="1"/>
    <col min="3" max="3" width="14.42578125" bestFit="1" customWidth="1"/>
    <col min="4" max="4" width="20.7109375" customWidth="1"/>
    <col min="5" max="5" width="18.140625" customWidth="1"/>
    <col min="6" max="6" width="7.42578125" bestFit="1" customWidth="1"/>
    <col min="7" max="7" width="11.5703125" customWidth="1"/>
    <col min="8" max="8" width="11" customWidth="1"/>
    <col min="9" max="9" width="9.5703125" customWidth="1"/>
    <col min="10" max="10" width="11" customWidth="1"/>
    <col min="11" max="11" width="10" customWidth="1"/>
    <col min="12" max="14" width="5.140625" customWidth="1"/>
    <col min="15" max="15" width="8.85546875" customWidth="1"/>
    <col min="16" max="16" width="9.28515625" customWidth="1"/>
    <col min="17" max="17" width="10.5703125" customWidth="1"/>
    <col min="18" max="20" width="6" customWidth="1"/>
    <col min="21" max="21" width="10" customWidth="1"/>
    <col min="22" max="22" width="9.7109375" customWidth="1"/>
    <col min="23" max="23" width="11.28515625" bestFit="1" customWidth="1"/>
    <col min="24" max="24" width="10.28515625" bestFit="1" customWidth="1"/>
    <col min="25" max="25" width="11.28515625" bestFit="1" customWidth="1"/>
    <col min="26" max="26" width="13.85546875" style="832" customWidth="1"/>
    <col min="27" max="27" width="16.5703125" style="832" bestFit="1" customWidth="1"/>
  </cols>
  <sheetData>
    <row r="1" spans="1:27" s="1013" customFormat="1" ht="12">
      <c r="R1" s="1014"/>
      <c r="S1" s="1014"/>
      <c r="T1" s="1014"/>
      <c r="U1" s="1014"/>
      <c r="V1" s="1015"/>
      <c r="W1" s="1015"/>
      <c r="X1" s="1015"/>
      <c r="Y1" s="1015"/>
      <c r="Z1" s="1016"/>
      <c r="AA1" s="1016"/>
    </row>
    <row r="2" spans="1:27" s="1041" customFormat="1" ht="12" customHeight="1">
      <c r="A2" s="1236" t="s">
        <v>2516</v>
      </c>
      <c r="B2" s="1236"/>
      <c r="C2" s="1236"/>
      <c r="D2" s="1236"/>
      <c r="E2" s="1236"/>
      <c r="F2" s="1236"/>
      <c r="G2" s="1237" t="s">
        <v>2517</v>
      </c>
      <c r="H2" s="1237"/>
      <c r="I2" s="1237"/>
      <c r="J2" s="1237"/>
      <c r="K2" s="1237"/>
      <c r="L2" s="1237"/>
      <c r="M2" s="1237"/>
      <c r="N2" s="1237"/>
      <c r="O2" s="1237"/>
      <c r="P2" s="1237"/>
      <c r="Q2" s="1237"/>
      <c r="R2" s="1237"/>
      <c r="S2" s="1237"/>
      <c r="T2" s="1237"/>
      <c r="U2" s="1237"/>
      <c r="V2" s="1237"/>
      <c r="W2" s="1237"/>
      <c r="X2" s="1237"/>
      <c r="Y2" s="1237"/>
      <c r="Z2" s="1238" t="s">
        <v>2518</v>
      </c>
      <c r="AA2" s="1238" t="s">
        <v>2519</v>
      </c>
    </row>
    <row r="3" spans="1:27" s="1041" customFormat="1" ht="12" customHeight="1">
      <c r="A3" s="1236" t="s">
        <v>2520</v>
      </c>
      <c r="B3" s="1236" t="s">
        <v>2521</v>
      </c>
      <c r="C3" s="1236" t="s">
        <v>286</v>
      </c>
      <c r="D3" s="1236" t="s">
        <v>2522</v>
      </c>
      <c r="E3" s="1236" t="s">
        <v>2523</v>
      </c>
      <c r="F3" s="1236" t="s">
        <v>2524</v>
      </c>
      <c r="G3" s="1236"/>
      <c r="H3" s="1234" t="s">
        <v>942</v>
      </c>
      <c r="I3" s="1234"/>
      <c r="J3" s="1234"/>
      <c r="K3" s="1234"/>
      <c r="L3" s="1234"/>
      <c r="M3" s="1234"/>
      <c r="N3" s="1234"/>
      <c r="O3" s="1234"/>
      <c r="P3" s="1234"/>
      <c r="Q3" s="1234"/>
      <c r="R3" s="1239" t="s">
        <v>991</v>
      </c>
      <c r="S3" s="1239"/>
      <c r="T3" s="1239"/>
      <c r="U3" s="1239"/>
      <c r="V3" s="1239"/>
      <c r="W3" s="1233" t="s">
        <v>2525</v>
      </c>
      <c r="X3" s="1233"/>
      <c r="Y3" s="1233"/>
      <c r="Z3" s="1238"/>
      <c r="AA3" s="1238"/>
    </row>
    <row r="4" spans="1:27" s="1041" customFormat="1" ht="45" customHeight="1">
      <c r="A4" s="1236"/>
      <c r="B4" s="1236"/>
      <c r="C4" s="1236"/>
      <c r="D4" s="1236"/>
      <c r="E4" s="1236"/>
      <c r="F4" s="1236"/>
      <c r="G4" s="1236"/>
      <c r="H4" s="1234" t="s">
        <v>2526</v>
      </c>
      <c r="I4" s="1234" t="s">
        <v>2527</v>
      </c>
      <c r="J4" s="1234" t="s">
        <v>2528</v>
      </c>
      <c r="K4" s="1234" t="s">
        <v>2529</v>
      </c>
      <c r="L4" s="1234" t="s">
        <v>2530</v>
      </c>
      <c r="M4" s="1234" t="s">
        <v>2531</v>
      </c>
      <c r="N4" s="1234"/>
      <c r="O4" s="1234" t="s">
        <v>2532</v>
      </c>
      <c r="P4" s="1234" t="s">
        <v>2533</v>
      </c>
      <c r="Q4" s="1234" t="s">
        <v>2534</v>
      </c>
      <c r="R4" s="1235" t="s">
        <v>2535</v>
      </c>
      <c r="S4" s="1235" t="s">
        <v>2536</v>
      </c>
      <c r="T4" s="1235"/>
      <c r="U4" s="1235" t="s">
        <v>2537</v>
      </c>
      <c r="V4" s="1235" t="s">
        <v>2538</v>
      </c>
      <c r="W4" s="1233" t="s">
        <v>530</v>
      </c>
      <c r="X4" s="1233" t="s">
        <v>992</v>
      </c>
      <c r="Y4" s="1233" t="s">
        <v>2539</v>
      </c>
      <c r="Z4" s="1238"/>
      <c r="AA4" s="1238"/>
    </row>
    <row r="5" spans="1:27" s="1041" customFormat="1" ht="96" customHeight="1">
      <c r="A5" s="1236"/>
      <c r="B5" s="1236"/>
      <c r="C5" s="1236"/>
      <c r="D5" s="1236"/>
      <c r="E5" s="1236"/>
      <c r="F5" s="1017" t="s">
        <v>2540</v>
      </c>
      <c r="G5" s="1017" t="s">
        <v>2541</v>
      </c>
      <c r="H5" s="1234"/>
      <c r="I5" s="1234"/>
      <c r="J5" s="1234"/>
      <c r="K5" s="1234"/>
      <c r="L5" s="1234"/>
      <c r="M5" s="1018" t="s">
        <v>2715</v>
      </c>
      <c r="N5" s="1018" t="s">
        <v>2543</v>
      </c>
      <c r="O5" s="1234"/>
      <c r="P5" s="1234"/>
      <c r="Q5" s="1234"/>
      <c r="R5" s="1235"/>
      <c r="S5" s="1019" t="s">
        <v>2544</v>
      </c>
      <c r="T5" s="1019" t="s">
        <v>2545</v>
      </c>
      <c r="U5" s="1235"/>
      <c r="V5" s="1235"/>
      <c r="W5" s="1233"/>
      <c r="X5" s="1233"/>
      <c r="Y5" s="1233"/>
      <c r="Z5" s="1238"/>
      <c r="AA5" s="1238"/>
    </row>
    <row r="6" spans="1:27" s="1042" customFormat="1" ht="18" customHeight="1">
      <c r="A6" s="34">
        <v>1</v>
      </c>
      <c r="B6" s="34">
        <v>2</v>
      </c>
      <c r="C6" s="34">
        <v>3</v>
      </c>
      <c r="D6" s="34">
        <v>4</v>
      </c>
      <c r="E6" s="34">
        <v>5</v>
      </c>
      <c r="F6" s="34">
        <v>6</v>
      </c>
      <c r="G6" s="34">
        <v>7</v>
      </c>
      <c r="H6" s="34">
        <v>8</v>
      </c>
      <c r="I6" s="34">
        <v>9</v>
      </c>
      <c r="J6" s="34">
        <v>10</v>
      </c>
      <c r="K6" s="34">
        <v>11</v>
      </c>
      <c r="L6" s="34">
        <v>12</v>
      </c>
      <c r="M6" s="34">
        <v>13</v>
      </c>
      <c r="N6" s="34">
        <v>14</v>
      </c>
      <c r="O6" s="34">
        <v>15</v>
      </c>
      <c r="P6" s="34">
        <v>16</v>
      </c>
      <c r="Q6" s="1046" t="s">
        <v>2546</v>
      </c>
      <c r="R6" s="34">
        <v>18</v>
      </c>
      <c r="S6" s="34">
        <v>19</v>
      </c>
      <c r="T6" s="34">
        <v>20</v>
      </c>
      <c r="U6" s="34">
        <v>21</v>
      </c>
      <c r="V6" s="1046" t="s">
        <v>2547</v>
      </c>
      <c r="W6" s="34">
        <v>23</v>
      </c>
      <c r="X6" s="34">
        <v>24</v>
      </c>
      <c r="Y6" s="1046" t="s">
        <v>2548</v>
      </c>
      <c r="Z6" s="1047" t="s">
        <v>2549</v>
      </c>
      <c r="AA6" s="1048" t="s">
        <v>2550</v>
      </c>
    </row>
    <row r="7" spans="1:27">
      <c r="A7" s="1049">
        <v>1</v>
      </c>
      <c r="B7" s="1050" t="s">
        <v>2551</v>
      </c>
      <c r="C7" s="1050" t="s">
        <v>2552</v>
      </c>
      <c r="D7" s="33"/>
      <c r="E7" s="1051" t="s">
        <v>807</v>
      </c>
      <c r="F7" s="1051" t="s">
        <v>2553</v>
      </c>
      <c r="G7" s="1052">
        <v>962147</v>
      </c>
      <c r="H7" s="1052">
        <f>G7*5%</f>
        <v>48107.350000000006</v>
      </c>
      <c r="I7" s="1052"/>
      <c r="J7" s="1052"/>
      <c r="K7" s="1052">
        <f>G7*0.1</f>
        <v>96214.700000000012</v>
      </c>
      <c r="L7" s="1052"/>
      <c r="M7" s="33"/>
      <c r="N7" s="33"/>
      <c r="O7" s="33"/>
      <c r="P7" s="1052"/>
      <c r="Q7" s="1053">
        <f>SUM(H7:P7)</f>
        <v>144322.05000000002</v>
      </c>
      <c r="R7" s="1049"/>
      <c r="S7" s="1049"/>
      <c r="T7" s="1049"/>
      <c r="U7" s="1054">
        <f>(G7*40%)/3</f>
        <v>128286.26666666668</v>
      </c>
      <c r="V7" s="1055">
        <f>SUM(R7:U7)</f>
        <v>128286.26666666668</v>
      </c>
      <c r="W7" s="1052">
        <v>132000</v>
      </c>
      <c r="X7" s="1052">
        <v>26400</v>
      </c>
      <c r="Y7" s="1055">
        <f>+W7+X7</f>
        <v>158400</v>
      </c>
      <c r="Z7" s="1056">
        <f>+Q7+Y7+V7+G7</f>
        <v>1393155.3166666667</v>
      </c>
      <c r="AA7" s="1056">
        <f>+Z7*12</f>
        <v>16717863.800000001</v>
      </c>
    </row>
    <row r="8" spans="1:27" ht="40.5">
      <c r="A8" s="1049">
        <v>2</v>
      </c>
      <c r="B8" s="1057" t="s">
        <v>2551</v>
      </c>
      <c r="C8" s="1057" t="s">
        <v>2554</v>
      </c>
      <c r="D8" s="1058" t="s">
        <v>998</v>
      </c>
      <c r="E8" s="1059" t="s">
        <v>240</v>
      </c>
      <c r="F8" s="1060" t="s">
        <v>241</v>
      </c>
      <c r="G8" s="1052">
        <v>901079</v>
      </c>
      <c r="H8" s="1052">
        <f>G8*15%</f>
        <v>135161.85</v>
      </c>
      <c r="I8" s="1052"/>
      <c r="J8" s="1052">
        <f>+G8*0.2</f>
        <v>180215.80000000002</v>
      </c>
      <c r="K8" s="1052">
        <f>G8*0.1</f>
        <v>90107.900000000009</v>
      </c>
      <c r="L8" s="1052"/>
      <c r="M8" s="33"/>
      <c r="N8" s="33"/>
      <c r="O8" s="33"/>
      <c r="P8" s="1052"/>
      <c r="Q8" s="1053">
        <f t="shared" ref="Q8:Q71" si="0">SUM(H8:P8)</f>
        <v>405485.55000000005</v>
      </c>
      <c r="R8" s="1049"/>
      <c r="S8" s="1049"/>
      <c r="T8" s="1049"/>
      <c r="U8" s="1054">
        <f t="shared" ref="U8:U72" si="1">(G8*40%)/3</f>
        <v>120143.86666666668</v>
      </c>
      <c r="V8" s="1055">
        <f t="shared" ref="V8:V72" si="2">SUM(R8:U8)</f>
        <v>120143.86666666668</v>
      </c>
      <c r="W8" s="1052">
        <v>132000</v>
      </c>
      <c r="X8" s="1052">
        <v>26400</v>
      </c>
      <c r="Y8" s="1055">
        <f t="shared" ref="Y8:Y71" si="3">+W8+X8</f>
        <v>158400</v>
      </c>
      <c r="Z8" s="1056">
        <f t="shared" ref="Z8:Z72" si="4">+Q8+Y8+V8+G8</f>
        <v>1585108.4166666667</v>
      </c>
      <c r="AA8" s="1056">
        <f t="shared" ref="AA8:AA72" si="5">+Z8*12</f>
        <v>19021301</v>
      </c>
    </row>
    <row r="9" spans="1:27" ht="40.5">
      <c r="A9" s="1049">
        <v>3</v>
      </c>
      <c r="B9" s="1057" t="s">
        <v>2555</v>
      </c>
      <c r="C9" s="1057" t="s">
        <v>2556</v>
      </c>
      <c r="D9" s="1058" t="s">
        <v>998</v>
      </c>
      <c r="E9" s="1059" t="s">
        <v>245</v>
      </c>
      <c r="F9" s="1059" t="s">
        <v>254</v>
      </c>
      <c r="G9" s="1052">
        <v>740561</v>
      </c>
      <c r="H9" s="1061">
        <f>G9*10%</f>
        <v>74056.100000000006</v>
      </c>
      <c r="I9" s="1052"/>
      <c r="J9" s="1052">
        <f>+G9*0.2</f>
        <v>148112.20000000001</v>
      </c>
      <c r="K9" s="1052">
        <f>+G9*0.1</f>
        <v>74056.100000000006</v>
      </c>
      <c r="L9" s="1052"/>
      <c r="M9" s="33"/>
      <c r="N9" s="33"/>
      <c r="O9" s="33"/>
      <c r="P9" s="1052"/>
      <c r="Q9" s="1053">
        <f t="shared" si="0"/>
        <v>296224.40000000002</v>
      </c>
      <c r="R9" s="1049"/>
      <c r="S9" s="1049"/>
      <c r="T9" s="1049"/>
      <c r="U9" s="1054">
        <f t="shared" si="1"/>
        <v>98741.466666666674</v>
      </c>
      <c r="V9" s="1055">
        <f t="shared" si="2"/>
        <v>98741.466666666674</v>
      </c>
      <c r="W9" s="1052">
        <v>132000</v>
      </c>
      <c r="X9" s="1052">
        <v>26400</v>
      </c>
      <c r="Y9" s="1055">
        <f t="shared" si="3"/>
        <v>158400</v>
      </c>
      <c r="Z9" s="1056">
        <f t="shared" si="4"/>
        <v>1293926.8666666667</v>
      </c>
      <c r="AA9" s="1056">
        <f t="shared" si="5"/>
        <v>15527122.4</v>
      </c>
    </row>
    <row r="10" spans="1:27" ht="40.5">
      <c r="A10" s="1049">
        <v>4</v>
      </c>
      <c r="B10" s="1057" t="s">
        <v>2557</v>
      </c>
      <c r="C10" s="1057" t="s">
        <v>2558</v>
      </c>
      <c r="D10" s="1058" t="s">
        <v>998</v>
      </c>
      <c r="E10" s="1059" t="s">
        <v>245</v>
      </c>
      <c r="F10" s="1059" t="s">
        <v>1001</v>
      </c>
      <c r="G10" s="1052">
        <v>669861</v>
      </c>
      <c r="H10" s="1061"/>
      <c r="I10" s="1052"/>
      <c r="J10" s="1052"/>
      <c r="K10" s="1052"/>
      <c r="L10" s="1052"/>
      <c r="M10" s="33"/>
      <c r="N10" s="33"/>
      <c r="O10" s="33"/>
      <c r="P10" s="1052"/>
      <c r="Q10" s="1053">
        <f t="shared" si="0"/>
        <v>0</v>
      </c>
      <c r="R10" s="1049"/>
      <c r="S10" s="1049"/>
      <c r="T10" s="1049"/>
      <c r="U10" s="1054">
        <f t="shared" si="1"/>
        <v>89314.8</v>
      </c>
      <c r="V10" s="1055">
        <f t="shared" si="2"/>
        <v>89314.8</v>
      </c>
      <c r="W10" s="1052">
        <v>132000</v>
      </c>
      <c r="X10" s="1052">
        <v>26400</v>
      </c>
      <c r="Y10" s="1055">
        <f t="shared" si="3"/>
        <v>158400</v>
      </c>
      <c r="Z10" s="1056">
        <f t="shared" si="4"/>
        <v>917575.8</v>
      </c>
      <c r="AA10" s="1056">
        <f t="shared" si="5"/>
        <v>11010909.600000001</v>
      </c>
    </row>
    <row r="11" spans="1:27" ht="40.5">
      <c r="A11" s="1049">
        <v>5</v>
      </c>
      <c r="B11" s="1057" t="s">
        <v>2559</v>
      </c>
      <c r="C11" s="1057" t="s">
        <v>2560</v>
      </c>
      <c r="D11" s="1058" t="s">
        <v>998</v>
      </c>
      <c r="E11" s="1059" t="s">
        <v>253</v>
      </c>
      <c r="F11" s="1059" t="s">
        <v>244</v>
      </c>
      <c r="G11" s="1052">
        <v>740561</v>
      </c>
      <c r="H11" s="1061">
        <f>G11*15%</f>
        <v>111084.15</v>
      </c>
      <c r="I11" s="1052"/>
      <c r="J11" s="1052">
        <f>+G11*0.2</f>
        <v>148112.20000000001</v>
      </c>
      <c r="K11" s="1052">
        <f>+G11*0.1</f>
        <v>74056.100000000006</v>
      </c>
      <c r="L11" s="1052"/>
      <c r="M11" s="33"/>
      <c r="N11" s="33"/>
      <c r="O11" s="33"/>
      <c r="P11" s="1052"/>
      <c r="Q11" s="1053">
        <f t="shared" si="0"/>
        <v>333252.45</v>
      </c>
      <c r="R11" s="1049"/>
      <c r="S11" s="1049"/>
      <c r="T11" s="1049"/>
      <c r="U11" s="1054">
        <f t="shared" si="1"/>
        <v>98741.466666666674</v>
      </c>
      <c r="V11" s="1055">
        <f t="shared" si="2"/>
        <v>98741.466666666674</v>
      </c>
      <c r="W11" s="1052">
        <v>132000</v>
      </c>
      <c r="X11" s="1052">
        <v>26400</v>
      </c>
      <c r="Y11" s="1055">
        <f t="shared" si="3"/>
        <v>158400</v>
      </c>
      <c r="Z11" s="1056">
        <f t="shared" si="4"/>
        <v>1330954.9166666667</v>
      </c>
      <c r="AA11" s="1056">
        <f t="shared" si="5"/>
        <v>15971459</v>
      </c>
    </row>
    <row r="12" spans="1:27" ht="40.5">
      <c r="A12" s="1049">
        <v>6</v>
      </c>
      <c r="B12" s="1057" t="s">
        <v>2561</v>
      </c>
      <c r="C12" s="1057" t="s">
        <v>2562</v>
      </c>
      <c r="D12" s="1058" t="s">
        <v>998</v>
      </c>
      <c r="E12" s="1059" t="s">
        <v>2563</v>
      </c>
      <c r="F12" s="1059" t="s">
        <v>1006</v>
      </c>
      <c r="G12" s="1052">
        <v>770701</v>
      </c>
      <c r="H12" s="1061">
        <f>G12*5%</f>
        <v>38535.050000000003</v>
      </c>
      <c r="I12" s="1052"/>
      <c r="J12" s="1052">
        <f>G12*0.3</f>
        <v>231210.3</v>
      </c>
      <c r="K12" s="1052"/>
      <c r="L12" s="1052"/>
      <c r="M12" s="33"/>
      <c r="N12" s="33"/>
      <c r="O12" s="33"/>
      <c r="P12" s="1052"/>
      <c r="Q12" s="1053">
        <f t="shared" si="0"/>
        <v>269745.34999999998</v>
      </c>
      <c r="R12" s="1049"/>
      <c r="S12" s="1049"/>
      <c r="T12" s="1049"/>
      <c r="U12" s="1054">
        <f t="shared" si="1"/>
        <v>102760.13333333335</v>
      </c>
      <c r="V12" s="1055">
        <f t="shared" si="2"/>
        <v>102760.13333333335</v>
      </c>
      <c r="W12" s="1052">
        <v>132000</v>
      </c>
      <c r="X12" s="1052">
        <v>26400</v>
      </c>
      <c r="Y12" s="1055">
        <f t="shared" si="3"/>
        <v>158400</v>
      </c>
      <c r="Z12" s="1056">
        <f t="shared" si="4"/>
        <v>1301606.4833333334</v>
      </c>
      <c r="AA12" s="1056">
        <f t="shared" si="5"/>
        <v>15619277.800000001</v>
      </c>
    </row>
    <row r="13" spans="1:27" ht="40.5">
      <c r="A13" s="1049">
        <v>7</v>
      </c>
      <c r="B13" s="1062" t="s">
        <v>2564</v>
      </c>
      <c r="C13" s="1062" t="s">
        <v>2565</v>
      </c>
      <c r="D13" s="1058" t="s">
        <v>998</v>
      </c>
      <c r="E13" s="1059" t="s">
        <v>245</v>
      </c>
      <c r="F13" s="1059" t="s">
        <v>264</v>
      </c>
      <c r="G13" s="1052">
        <v>651503</v>
      </c>
      <c r="H13" s="1063"/>
      <c r="I13" s="1063"/>
      <c r="J13" s="1063"/>
      <c r="K13" s="1052"/>
      <c r="L13" s="1052"/>
      <c r="M13" s="33"/>
      <c r="N13" s="33"/>
      <c r="O13" s="33"/>
      <c r="P13" s="1063"/>
      <c r="Q13" s="1053">
        <f t="shared" si="0"/>
        <v>0</v>
      </c>
      <c r="R13" s="1049"/>
      <c r="S13" s="1049"/>
      <c r="T13" s="1049"/>
      <c r="U13" s="1054">
        <f t="shared" si="1"/>
        <v>86867.066666666666</v>
      </c>
      <c r="V13" s="1055">
        <f t="shared" si="2"/>
        <v>86867.066666666666</v>
      </c>
      <c r="W13" s="1052">
        <v>132000</v>
      </c>
      <c r="X13" s="1052">
        <v>26400</v>
      </c>
      <c r="Y13" s="1055">
        <f t="shared" si="3"/>
        <v>158400</v>
      </c>
      <c r="Z13" s="1056">
        <f t="shared" si="4"/>
        <v>896770.06666666665</v>
      </c>
      <c r="AA13" s="1056">
        <f t="shared" si="5"/>
        <v>10761240.800000001</v>
      </c>
    </row>
    <row r="14" spans="1:27" ht="40.5">
      <c r="A14" s="1049">
        <v>8</v>
      </c>
      <c r="B14" s="1062" t="s">
        <v>2566</v>
      </c>
      <c r="C14" s="1062" t="s">
        <v>2567</v>
      </c>
      <c r="D14" s="1058" t="s">
        <v>998</v>
      </c>
      <c r="E14" s="1059" t="s">
        <v>245</v>
      </c>
      <c r="F14" s="1059" t="s">
        <v>264</v>
      </c>
      <c r="G14" s="1052">
        <v>651503</v>
      </c>
      <c r="H14" s="1063"/>
      <c r="I14" s="1063"/>
      <c r="J14" s="1063"/>
      <c r="K14" s="1052"/>
      <c r="L14" s="1052"/>
      <c r="M14" s="33"/>
      <c r="N14" s="33"/>
      <c r="O14" s="33"/>
      <c r="P14" s="1063"/>
      <c r="Q14" s="1053">
        <f t="shared" si="0"/>
        <v>0</v>
      </c>
      <c r="R14" s="1049"/>
      <c r="S14" s="1049"/>
      <c r="T14" s="1049"/>
      <c r="U14" s="1054">
        <f t="shared" si="1"/>
        <v>86867.066666666666</v>
      </c>
      <c r="V14" s="1055">
        <f t="shared" si="2"/>
        <v>86867.066666666666</v>
      </c>
      <c r="W14" s="1052">
        <v>132000</v>
      </c>
      <c r="X14" s="1052">
        <v>26400</v>
      </c>
      <c r="Y14" s="1055">
        <f t="shared" si="3"/>
        <v>158400</v>
      </c>
      <c r="Z14" s="1056">
        <f t="shared" si="4"/>
        <v>896770.06666666665</v>
      </c>
      <c r="AA14" s="1056">
        <f t="shared" si="5"/>
        <v>10761240.800000001</v>
      </c>
    </row>
    <row r="15" spans="1:27" ht="40.5">
      <c r="A15" s="1049">
        <v>9</v>
      </c>
      <c r="B15" s="1062" t="s">
        <v>2568</v>
      </c>
      <c r="C15" s="1062" t="s">
        <v>2569</v>
      </c>
      <c r="D15" s="1058" t="s">
        <v>998</v>
      </c>
      <c r="E15" s="1059" t="s">
        <v>245</v>
      </c>
      <c r="F15" s="1059" t="s">
        <v>1001</v>
      </c>
      <c r="G15" s="1052">
        <v>669861</v>
      </c>
      <c r="H15" s="1063"/>
      <c r="I15" s="1063"/>
      <c r="J15" s="1063">
        <f>G15*0.25</f>
        <v>167465.25</v>
      </c>
      <c r="K15" s="1052"/>
      <c r="L15" s="1052"/>
      <c r="M15" s="33"/>
      <c r="N15" s="33"/>
      <c r="O15" s="33"/>
      <c r="P15" s="1063"/>
      <c r="Q15" s="1053">
        <f t="shared" si="0"/>
        <v>167465.25</v>
      </c>
      <c r="R15" s="1049"/>
      <c r="S15" s="1049"/>
      <c r="T15" s="1049"/>
      <c r="U15" s="1054">
        <f t="shared" si="1"/>
        <v>89314.8</v>
      </c>
      <c r="V15" s="1055">
        <f t="shared" si="2"/>
        <v>89314.8</v>
      </c>
      <c r="W15" s="1052">
        <v>132000</v>
      </c>
      <c r="X15" s="1052">
        <v>26400</v>
      </c>
      <c r="Y15" s="1055">
        <f t="shared" si="3"/>
        <v>158400</v>
      </c>
      <c r="Z15" s="1056">
        <f t="shared" si="4"/>
        <v>1085041.05</v>
      </c>
      <c r="AA15" s="1056">
        <f t="shared" si="5"/>
        <v>13020492.600000001</v>
      </c>
    </row>
    <row r="16" spans="1:27" ht="40.5">
      <c r="A16" s="1049">
        <v>10</v>
      </c>
      <c r="B16" s="1062" t="s">
        <v>2570</v>
      </c>
      <c r="C16" s="1062" t="s">
        <v>2571</v>
      </c>
      <c r="D16" s="1058" t="s">
        <v>998</v>
      </c>
      <c r="E16" s="1059" t="s">
        <v>253</v>
      </c>
      <c r="F16" s="1059" t="s">
        <v>244</v>
      </c>
      <c r="G16" s="1052">
        <v>740561</v>
      </c>
      <c r="H16" s="1063"/>
      <c r="I16" s="1063"/>
      <c r="J16" s="1052">
        <f>+G16*0.2</f>
        <v>148112.20000000001</v>
      </c>
      <c r="K16" s="1052"/>
      <c r="L16" s="1052"/>
      <c r="M16" s="33"/>
      <c r="N16" s="33"/>
      <c r="O16" s="33"/>
      <c r="P16" s="1063"/>
      <c r="Q16" s="1053">
        <f t="shared" si="0"/>
        <v>148112.20000000001</v>
      </c>
      <c r="R16" s="1049"/>
      <c r="S16" s="1049"/>
      <c r="T16" s="1049"/>
      <c r="U16" s="1054">
        <f t="shared" si="1"/>
        <v>98741.466666666674</v>
      </c>
      <c r="V16" s="1055">
        <f t="shared" si="2"/>
        <v>98741.466666666674</v>
      </c>
      <c r="W16" s="1052">
        <v>132000</v>
      </c>
      <c r="X16" s="1052">
        <v>26400</v>
      </c>
      <c r="Y16" s="1055">
        <f t="shared" si="3"/>
        <v>158400</v>
      </c>
      <c r="Z16" s="1056">
        <f t="shared" si="4"/>
        <v>1145814.6666666667</v>
      </c>
      <c r="AA16" s="1056">
        <f t="shared" si="5"/>
        <v>13749776</v>
      </c>
    </row>
    <row r="17" spans="1:27" ht="27">
      <c r="A17" s="1049">
        <v>11</v>
      </c>
      <c r="B17" s="1064" t="s">
        <v>2572</v>
      </c>
      <c r="C17" s="1064" t="s">
        <v>2552</v>
      </c>
      <c r="D17" s="1065" t="s">
        <v>1008</v>
      </c>
      <c r="E17" s="1060" t="s">
        <v>826</v>
      </c>
      <c r="F17" s="1060" t="s">
        <v>241</v>
      </c>
      <c r="G17" s="1052">
        <v>901079</v>
      </c>
      <c r="H17" s="1061">
        <f>G17*10%</f>
        <v>90107.900000000009</v>
      </c>
      <c r="I17" s="1066"/>
      <c r="J17" s="1063">
        <f>+G17*0.2</f>
        <v>180215.80000000002</v>
      </c>
      <c r="K17" s="1052"/>
      <c r="L17" s="1052"/>
      <c r="M17" s="33"/>
      <c r="N17" s="33"/>
      <c r="O17" s="33"/>
      <c r="P17" s="1066"/>
      <c r="Q17" s="1053">
        <f t="shared" si="0"/>
        <v>270323.7</v>
      </c>
      <c r="R17" s="1049"/>
      <c r="S17" s="1049"/>
      <c r="T17" s="1049"/>
      <c r="U17" s="1054">
        <f t="shared" si="1"/>
        <v>120143.86666666668</v>
      </c>
      <c r="V17" s="1055">
        <f t="shared" si="2"/>
        <v>120143.86666666668</v>
      </c>
      <c r="W17" s="1052">
        <v>132000</v>
      </c>
      <c r="X17" s="1052">
        <v>26400</v>
      </c>
      <c r="Y17" s="1055">
        <f t="shared" si="3"/>
        <v>158400</v>
      </c>
      <c r="Z17" s="1056">
        <f t="shared" si="4"/>
        <v>1449946.5666666667</v>
      </c>
      <c r="AA17" s="1056">
        <f t="shared" si="5"/>
        <v>17399358.800000001</v>
      </c>
    </row>
    <row r="18" spans="1:27" ht="27">
      <c r="A18" s="1049">
        <v>12</v>
      </c>
      <c r="B18" s="1057" t="s">
        <v>2573</v>
      </c>
      <c r="C18" s="1057" t="s">
        <v>2574</v>
      </c>
      <c r="D18" s="1065" t="s">
        <v>1008</v>
      </c>
      <c r="E18" s="1059" t="s">
        <v>1005</v>
      </c>
      <c r="F18" s="1059" t="s">
        <v>1006</v>
      </c>
      <c r="G18" s="1052">
        <v>770701</v>
      </c>
      <c r="H18" s="1061">
        <f>G18*15%</f>
        <v>115605.15</v>
      </c>
      <c r="I18" s="1052"/>
      <c r="J18" s="1052">
        <f>G18*0.3</f>
        <v>231210.3</v>
      </c>
      <c r="K18" s="1052">
        <f>+G18*0.15</f>
        <v>115605.15</v>
      </c>
      <c r="L18" s="1052"/>
      <c r="M18" s="33"/>
      <c r="N18" s="33"/>
      <c r="O18" s="33"/>
      <c r="P18" s="1052"/>
      <c r="Q18" s="1053">
        <f t="shared" si="0"/>
        <v>462420.6</v>
      </c>
      <c r="R18" s="1049"/>
      <c r="S18" s="1049"/>
      <c r="T18" s="1049"/>
      <c r="U18" s="1054">
        <f t="shared" si="1"/>
        <v>102760.13333333335</v>
      </c>
      <c r="V18" s="1055">
        <f t="shared" si="2"/>
        <v>102760.13333333335</v>
      </c>
      <c r="W18" s="1052">
        <v>132000</v>
      </c>
      <c r="X18" s="1052">
        <v>26400</v>
      </c>
      <c r="Y18" s="1055">
        <f t="shared" si="3"/>
        <v>158400</v>
      </c>
      <c r="Z18" s="1056">
        <f t="shared" si="4"/>
        <v>1494281.7333333334</v>
      </c>
      <c r="AA18" s="1056">
        <f t="shared" si="5"/>
        <v>17931380.800000001</v>
      </c>
    </row>
    <row r="19" spans="1:27" ht="27">
      <c r="A19" s="1049">
        <v>13</v>
      </c>
      <c r="B19" s="1057" t="s">
        <v>2575</v>
      </c>
      <c r="C19" s="1057" t="s">
        <v>2576</v>
      </c>
      <c r="D19" s="1065" t="s">
        <v>1008</v>
      </c>
      <c r="E19" s="1059" t="s">
        <v>163</v>
      </c>
      <c r="F19" s="1059" t="s">
        <v>1001</v>
      </c>
      <c r="G19" s="1052">
        <v>669861</v>
      </c>
      <c r="H19" s="1061">
        <f>G19*10%</f>
        <v>66986.100000000006</v>
      </c>
      <c r="I19" s="1052"/>
      <c r="J19" s="1052"/>
      <c r="K19" s="1052">
        <f>+G19*0.1</f>
        <v>66986.100000000006</v>
      </c>
      <c r="L19" s="1052"/>
      <c r="M19" s="33"/>
      <c r="N19" s="33"/>
      <c r="O19" s="33"/>
      <c r="P19" s="1052"/>
      <c r="Q19" s="1053">
        <f t="shared" si="0"/>
        <v>133972.20000000001</v>
      </c>
      <c r="R19" s="1049"/>
      <c r="S19" s="1049"/>
      <c r="T19" s="1049"/>
      <c r="U19" s="1054">
        <f t="shared" si="1"/>
        <v>89314.8</v>
      </c>
      <c r="V19" s="1055">
        <f t="shared" si="2"/>
        <v>89314.8</v>
      </c>
      <c r="W19" s="1052">
        <v>132000</v>
      </c>
      <c r="X19" s="1052">
        <v>26400</v>
      </c>
      <c r="Y19" s="1055">
        <f t="shared" si="3"/>
        <v>158400</v>
      </c>
      <c r="Z19" s="1056">
        <f t="shared" si="4"/>
        <v>1051548</v>
      </c>
      <c r="AA19" s="1056">
        <f t="shared" si="5"/>
        <v>12618576</v>
      </c>
    </row>
    <row r="20" spans="1:27" ht="27">
      <c r="A20" s="1049">
        <v>14</v>
      </c>
      <c r="B20" s="1057" t="s">
        <v>2577</v>
      </c>
      <c r="C20" s="1057" t="s">
        <v>2578</v>
      </c>
      <c r="D20" s="1065" t="s">
        <v>1008</v>
      </c>
      <c r="E20" s="1059" t="s">
        <v>163</v>
      </c>
      <c r="F20" s="1059" t="s">
        <v>244</v>
      </c>
      <c r="G20" s="1052">
        <v>740561</v>
      </c>
      <c r="H20" s="1061">
        <f>G20*15%</f>
        <v>111084.15</v>
      </c>
      <c r="I20" s="1052"/>
      <c r="J20" s="1052">
        <f>+G20*0.3</f>
        <v>222168.3</v>
      </c>
      <c r="K20" s="1052">
        <f>+G20*0.15</f>
        <v>111084.15</v>
      </c>
      <c r="L20" s="1052"/>
      <c r="M20" s="33"/>
      <c r="N20" s="33"/>
      <c r="O20" s="33"/>
      <c r="P20" s="1052"/>
      <c r="Q20" s="1053">
        <f t="shared" si="0"/>
        <v>444336.6</v>
      </c>
      <c r="R20" s="1049"/>
      <c r="S20" s="1049"/>
      <c r="T20" s="1049"/>
      <c r="U20" s="1054">
        <f t="shared" si="1"/>
        <v>98741.466666666674</v>
      </c>
      <c r="V20" s="1055">
        <f t="shared" si="2"/>
        <v>98741.466666666674</v>
      </c>
      <c r="W20" s="1052">
        <v>132000</v>
      </c>
      <c r="X20" s="1052">
        <v>26400</v>
      </c>
      <c r="Y20" s="1055">
        <f t="shared" si="3"/>
        <v>158400</v>
      </c>
      <c r="Z20" s="1056">
        <f t="shared" si="4"/>
        <v>1442039.0666666667</v>
      </c>
      <c r="AA20" s="1056">
        <f t="shared" si="5"/>
        <v>17304468.800000001</v>
      </c>
    </row>
    <row r="21" spans="1:27" ht="27">
      <c r="A21" s="1049">
        <v>15</v>
      </c>
      <c r="B21" s="1057" t="s">
        <v>2579</v>
      </c>
      <c r="C21" s="1057" t="s">
        <v>2580</v>
      </c>
      <c r="D21" s="1065" t="s">
        <v>1008</v>
      </c>
      <c r="E21" s="1059" t="s">
        <v>163</v>
      </c>
      <c r="F21" s="1059" t="s">
        <v>254</v>
      </c>
      <c r="G21" s="1052">
        <v>740561</v>
      </c>
      <c r="H21" s="1061">
        <f>G21*20%</f>
        <v>148112.20000000001</v>
      </c>
      <c r="I21" s="1052"/>
      <c r="J21" s="1052"/>
      <c r="K21" s="1052">
        <f>+G21*0.1</f>
        <v>74056.100000000006</v>
      </c>
      <c r="L21" s="1052"/>
      <c r="M21" s="33"/>
      <c r="N21" s="33"/>
      <c r="O21" s="33"/>
      <c r="P21" s="1052"/>
      <c r="Q21" s="1053">
        <f t="shared" si="0"/>
        <v>222168.30000000002</v>
      </c>
      <c r="R21" s="1049"/>
      <c r="S21" s="1049"/>
      <c r="T21" s="1049"/>
      <c r="U21" s="1054">
        <f t="shared" si="1"/>
        <v>98741.466666666674</v>
      </c>
      <c r="V21" s="1055">
        <f t="shared" si="2"/>
        <v>98741.466666666674</v>
      </c>
      <c r="W21" s="1052">
        <v>132000</v>
      </c>
      <c r="X21" s="1052">
        <v>26400</v>
      </c>
      <c r="Y21" s="1055">
        <f t="shared" si="3"/>
        <v>158400</v>
      </c>
      <c r="Z21" s="1056">
        <f t="shared" si="4"/>
        <v>1219870.7666666666</v>
      </c>
      <c r="AA21" s="1056">
        <f t="shared" si="5"/>
        <v>14638449.199999999</v>
      </c>
    </row>
    <row r="22" spans="1:27" ht="27">
      <c r="A22" s="1049">
        <v>16</v>
      </c>
      <c r="B22" s="1064" t="s">
        <v>2581</v>
      </c>
      <c r="C22" s="1064" t="s">
        <v>2582</v>
      </c>
      <c r="D22" s="1065" t="s">
        <v>1008</v>
      </c>
      <c r="E22" s="1059" t="s">
        <v>253</v>
      </c>
      <c r="F22" s="1059" t="s">
        <v>1001</v>
      </c>
      <c r="G22" s="1052">
        <v>669861</v>
      </c>
      <c r="H22" s="1052"/>
      <c r="I22" s="1052"/>
      <c r="J22" s="1052"/>
      <c r="K22" s="1052"/>
      <c r="L22" s="1052"/>
      <c r="M22" s="33"/>
      <c r="N22" s="33"/>
      <c r="O22" s="33"/>
      <c r="P22" s="1052"/>
      <c r="Q22" s="1053">
        <f t="shared" si="0"/>
        <v>0</v>
      </c>
      <c r="R22" s="1049"/>
      <c r="S22" s="1049"/>
      <c r="T22" s="1049"/>
      <c r="U22" s="1054">
        <f t="shared" si="1"/>
        <v>89314.8</v>
      </c>
      <c r="V22" s="1055">
        <f t="shared" si="2"/>
        <v>89314.8</v>
      </c>
      <c r="W22" s="1052">
        <v>132000</v>
      </c>
      <c r="X22" s="1052">
        <v>26400</v>
      </c>
      <c r="Y22" s="1055">
        <f t="shared" si="3"/>
        <v>158400</v>
      </c>
      <c r="Z22" s="1056">
        <f t="shared" si="4"/>
        <v>917575.8</v>
      </c>
      <c r="AA22" s="1056">
        <f t="shared" si="5"/>
        <v>11010909.600000001</v>
      </c>
    </row>
    <row r="23" spans="1:27" ht="27">
      <c r="A23" s="1049">
        <v>17</v>
      </c>
      <c r="B23" s="1062" t="s">
        <v>2561</v>
      </c>
      <c r="C23" s="1062" t="s">
        <v>2583</v>
      </c>
      <c r="D23" s="1065" t="s">
        <v>1008</v>
      </c>
      <c r="E23" s="1059" t="s">
        <v>253</v>
      </c>
      <c r="F23" s="1059" t="s">
        <v>264</v>
      </c>
      <c r="G23" s="1052">
        <v>651503</v>
      </c>
      <c r="H23" s="1063"/>
      <c r="I23" s="1063"/>
      <c r="J23" s="1063"/>
      <c r="K23" s="1052"/>
      <c r="L23" s="1052"/>
      <c r="M23" s="33"/>
      <c r="N23" s="33"/>
      <c r="O23" s="33"/>
      <c r="P23" s="1063"/>
      <c r="Q23" s="1053">
        <f t="shared" si="0"/>
        <v>0</v>
      </c>
      <c r="R23" s="1049"/>
      <c r="S23" s="1049"/>
      <c r="T23" s="1049"/>
      <c r="U23" s="1054">
        <f t="shared" si="1"/>
        <v>86867.066666666666</v>
      </c>
      <c r="V23" s="1055">
        <f t="shared" si="2"/>
        <v>86867.066666666666</v>
      </c>
      <c r="W23" s="1052">
        <v>132000</v>
      </c>
      <c r="X23" s="1052">
        <v>26400</v>
      </c>
      <c r="Y23" s="1055">
        <f t="shared" si="3"/>
        <v>158400</v>
      </c>
      <c r="Z23" s="1056">
        <f t="shared" si="4"/>
        <v>896770.06666666665</v>
      </c>
      <c r="AA23" s="1056">
        <f t="shared" si="5"/>
        <v>10761240.800000001</v>
      </c>
    </row>
    <row r="24" spans="1:27" ht="27">
      <c r="A24" s="1049">
        <v>18</v>
      </c>
      <c r="B24" s="1057" t="s">
        <v>2584</v>
      </c>
      <c r="C24" s="1057" t="s">
        <v>2585</v>
      </c>
      <c r="D24" s="1065" t="s">
        <v>1008</v>
      </c>
      <c r="E24" s="1059" t="s">
        <v>1014</v>
      </c>
      <c r="F24" s="1059" t="s">
        <v>1015</v>
      </c>
      <c r="G24" s="1052">
        <v>530676</v>
      </c>
      <c r="H24" s="1061">
        <f>G24*20%</f>
        <v>106135.20000000001</v>
      </c>
      <c r="I24" s="1052"/>
      <c r="J24" s="1052">
        <f>+G24*0.4</f>
        <v>212270.40000000002</v>
      </c>
      <c r="K24" s="1052"/>
      <c r="L24" s="1052"/>
      <c r="M24" s="33"/>
      <c r="N24" s="33"/>
      <c r="O24" s="33"/>
      <c r="P24" s="1052"/>
      <c r="Q24" s="1053">
        <f t="shared" si="0"/>
        <v>318405.60000000003</v>
      </c>
      <c r="R24" s="1049"/>
      <c r="S24" s="1049"/>
      <c r="T24" s="1049"/>
      <c r="U24" s="1054">
        <f t="shared" si="1"/>
        <v>70756.800000000003</v>
      </c>
      <c r="V24" s="1055">
        <f t="shared" si="2"/>
        <v>70756.800000000003</v>
      </c>
      <c r="W24" s="1052">
        <v>132000</v>
      </c>
      <c r="X24" s="1052">
        <v>26400</v>
      </c>
      <c r="Y24" s="1055">
        <f t="shared" si="3"/>
        <v>158400</v>
      </c>
      <c r="Z24" s="1056">
        <f t="shared" si="4"/>
        <v>1078238.3999999999</v>
      </c>
      <c r="AA24" s="1056">
        <f t="shared" si="5"/>
        <v>12938860.799999999</v>
      </c>
    </row>
    <row r="25" spans="1:27" ht="27">
      <c r="A25" s="1049">
        <v>19</v>
      </c>
      <c r="B25" s="1057" t="s">
        <v>2586</v>
      </c>
      <c r="C25" s="1057" t="s">
        <v>2587</v>
      </c>
      <c r="D25" s="1065" t="s">
        <v>1008</v>
      </c>
      <c r="E25" s="1059" t="s">
        <v>1014</v>
      </c>
      <c r="F25" s="1059" t="s">
        <v>1015</v>
      </c>
      <c r="G25" s="1052">
        <v>530676</v>
      </c>
      <c r="H25" s="1061">
        <f>G25*25%</f>
        <v>132669</v>
      </c>
      <c r="I25" s="1052"/>
      <c r="J25" s="1052">
        <f>+G25*0.2</f>
        <v>106135.20000000001</v>
      </c>
      <c r="K25" s="1052"/>
      <c r="L25" s="1052"/>
      <c r="M25" s="33"/>
      <c r="N25" s="33"/>
      <c r="O25" s="33"/>
      <c r="P25" s="1052"/>
      <c r="Q25" s="1053">
        <f t="shared" si="0"/>
        <v>238804.2</v>
      </c>
      <c r="R25" s="1049"/>
      <c r="S25" s="1049"/>
      <c r="T25" s="1049"/>
      <c r="U25" s="1054">
        <f t="shared" si="1"/>
        <v>70756.800000000003</v>
      </c>
      <c r="V25" s="1055">
        <f t="shared" si="2"/>
        <v>70756.800000000003</v>
      </c>
      <c r="W25" s="1052">
        <v>132000</v>
      </c>
      <c r="X25" s="1052">
        <v>26400</v>
      </c>
      <c r="Y25" s="1055">
        <f t="shared" si="3"/>
        <v>158400</v>
      </c>
      <c r="Z25" s="1056">
        <f t="shared" si="4"/>
        <v>998637</v>
      </c>
      <c r="AA25" s="1056">
        <f t="shared" si="5"/>
        <v>11983644</v>
      </c>
    </row>
    <row r="26" spans="1:27" ht="27">
      <c r="A26" s="1049">
        <v>20</v>
      </c>
      <c r="B26" s="1057" t="s">
        <v>2588</v>
      </c>
      <c r="C26" s="1057" t="s">
        <v>2589</v>
      </c>
      <c r="D26" s="1065" t="s">
        <v>1008</v>
      </c>
      <c r="E26" s="1059" t="s">
        <v>1005</v>
      </c>
      <c r="F26" s="1059" t="s">
        <v>1006</v>
      </c>
      <c r="G26" s="1052">
        <v>770701</v>
      </c>
      <c r="H26" s="1061">
        <f>G26*10%</f>
        <v>77070.100000000006</v>
      </c>
      <c r="I26" s="1052"/>
      <c r="J26" s="1052">
        <f>+G26*0.3</f>
        <v>231210.3</v>
      </c>
      <c r="K26" s="1052"/>
      <c r="L26" s="1052"/>
      <c r="M26" s="33"/>
      <c r="N26" s="33"/>
      <c r="O26" s="33"/>
      <c r="P26" s="1052"/>
      <c r="Q26" s="1053">
        <f t="shared" si="0"/>
        <v>308280.40000000002</v>
      </c>
      <c r="R26" s="1049"/>
      <c r="S26" s="1049"/>
      <c r="T26" s="1049"/>
      <c r="U26" s="1054">
        <f t="shared" si="1"/>
        <v>102760.13333333335</v>
      </c>
      <c r="V26" s="1055">
        <f t="shared" si="2"/>
        <v>102760.13333333335</v>
      </c>
      <c r="W26" s="1052">
        <v>132000</v>
      </c>
      <c r="X26" s="1052">
        <v>26400</v>
      </c>
      <c r="Y26" s="1055">
        <f t="shared" si="3"/>
        <v>158400</v>
      </c>
      <c r="Z26" s="1056">
        <f t="shared" si="4"/>
        <v>1340141.5333333332</v>
      </c>
      <c r="AA26" s="1056">
        <f t="shared" si="5"/>
        <v>16081698.399999999</v>
      </c>
    </row>
    <row r="27" spans="1:27" ht="27">
      <c r="A27" s="1049">
        <v>21</v>
      </c>
      <c r="B27" s="1057" t="s">
        <v>2590</v>
      </c>
      <c r="C27" s="1057" t="s">
        <v>2591</v>
      </c>
      <c r="D27" s="1065" t="s">
        <v>1008</v>
      </c>
      <c r="E27" s="1059" t="s">
        <v>253</v>
      </c>
      <c r="F27" s="1059" t="s">
        <v>244</v>
      </c>
      <c r="G27" s="1052">
        <v>740561</v>
      </c>
      <c r="H27" s="1061">
        <f>G27*5%</f>
        <v>37028.050000000003</v>
      </c>
      <c r="I27" s="1052"/>
      <c r="J27" s="1052"/>
      <c r="K27" s="1052"/>
      <c r="L27" s="1052"/>
      <c r="M27" s="33"/>
      <c r="N27" s="33"/>
      <c r="O27" s="33"/>
      <c r="P27" s="1052"/>
      <c r="Q27" s="1053">
        <f t="shared" si="0"/>
        <v>37028.050000000003</v>
      </c>
      <c r="R27" s="1049"/>
      <c r="S27" s="1049"/>
      <c r="T27" s="1049"/>
      <c r="U27" s="1054">
        <f t="shared" si="1"/>
        <v>98741.466666666674</v>
      </c>
      <c r="V27" s="1055">
        <f t="shared" si="2"/>
        <v>98741.466666666674</v>
      </c>
      <c r="W27" s="1052">
        <v>132000</v>
      </c>
      <c r="X27" s="1052">
        <v>26400</v>
      </c>
      <c r="Y27" s="1055">
        <f t="shared" si="3"/>
        <v>158400</v>
      </c>
      <c r="Z27" s="1056">
        <f t="shared" si="4"/>
        <v>1034730.5166666666</v>
      </c>
      <c r="AA27" s="1056">
        <f t="shared" si="5"/>
        <v>12416766.199999999</v>
      </c>
    </row>
    <row r="28" spans="1:27" ht="27">
      <c r="A28" s="1049">
        <v>22</v>
      </c>
      <c r="B28" s="1057" t="s">
        <v>2592</v>
      </c>
      <c r="C28" s="1057" t="s">
        <v>2593</v>
      </c>
      <c r="D28" s="1065" t="s">
        <v>1008</v>
      </c>
      <c r="E28" s="1059" t="s">
        <v>163</v>
      </c>
      <c r="F28" s="1059" t="s">
        <v>244</v>
      </c>
      <c r="G28" s="1052">
        <v>740561</v>
      </c>
      <c r="H28" s="1061">
        <f>G28*10%</f>
        <v>74056.100000000006</v>
      </c>
      <c r="I28" s="1052"/>
      <c r="J28" s="1052"/>
      <c r="K28" s="1052"/>
      <c r="L28" s="1052"/>
      <c r="M28" s="33"/>
      <c r="N28" s="33"/>
      <c r="O28" s="33"/>
      <c r="P28" s="1052"/>
      <c r="Q28" s="1053">
        <f t="shared" si="0"/>
        <v>74056.100000000006</v>
      </c>
      <c r="R28" s="1049"/>
      <c r="S28" s="1049"/>
      <c r="T28" s="1049"/>
      <c r="U28" s="1054">
        <f t="shared" si="1"/>
        <v>98741.466666666674</v>
      </c>
      <c r="V28" s="1055">
        <f t="shared" si="2"/>
        <v>98741.466666666674</v>
      </c>
      <c r="W28" s="1052">
        <v>132000</v>
      </c>
      <c r="X28" s="1052">
        <v>26400</v>
      </c>
      <c r="Y28" s="1055">
        <f t="shared" si="3"/>
        <v>158400</v>
      </c>
      <c r="Z28" s="1056">
        <f t="shared" si="4"/>
        <v>1071758.5666666667</v>
      </c>
      <c r="AA28" s="1056">
        <f t="shared" si="5"/>
        <v>12861102.800000001</v>
      </c>
    </row>
    <row r="29" spans="1:27" ht="27">
      <c r="A29" s="1049">
        <v>23</v>
      </c>
      <c r="B29" s="1062" t="s">
        <v>2594</v>
      </c>
      <c r="C29" s="1062" t="s">
        <v>2595</v>
      </c>
      <c r="D29" s="1065" t="s">
        <v>1008</v>
      </c>
      <c r="E29" s="1059" t="s">
        <v>253</v>
      </c>
      <c r="F29" s="1059" t="s">
        <v>264</v>
      </c>
      <c r="G29" s="1052">
        <v>651503</v>
      </c>
      <c r="H29" s="1063"/>
      <c r="I29" s="1063"/>
      <c r="J29" s="1063"/>
      <c r="K29" s="1052"/>
      <c r="L29" s="1052"/>
      <c r="M29" s="33"/>
      <c r="N29" s="33"/>
      <c r="O29" s="33"/>
      <c r="P29" s="1063"/>
      <c r="Q29" s="1053">
        <f t="shared" si="0"/>
        <v>0</v>
      </c>
      <c r="R29" s="1049"/>
      <c r="S29" s="1049"/>
      <c r="T29" s="1049"/>
      <c r="U29" s="1054">
        <f t="shared" si="1"/>
        <v>86867.066666666666</v>
      </c>
      <c r="V29" s="1055">
        <f t="shared" si="2"/>
        <v>86867.066666666666</v>
      </c>
      <c r="W29" s="1052">
        <v>132000</v>
      </c>
      <c r="X29" s="1052">
        <v>26400</v>
      </c>
      <c r="Y29" s="1055">
        <f t="shared" si="3"/>
        <v>158400</v>
      </c>
      <c r="Z29" s="1056">
        <f t="shared" si="4"/>
        <v>896770.06666666665</v>
      </c>
      <c r="AA29" s="1056">
        <f t="shared" si="5"/>
        <v>10761240.800000001</v>
      </c>
    </row>
    <row r="30" spans="1:27" ht="27">
      <c r="A30" s="1049">
        <v>24</v>
      </c>
      <c r="B30" s="1057" t="s">
        <v>2596</v>
      </c>
      <c r="C30" s="1057" t="s">
        <v>2597</v>
      </c>
      <c r="D30" s="1065" t="s">
        <v>2598</v>
      </c>
      <c r="E30" s="1059" t="s">
        <v>240</v>
      </c>
      <c r="F30" s="1060" t="s">
        <v>241</v>
      </c>
      <c r="G30" s="1052">
        <v>901079</v>
      </c>
      <c r="H30" s="1061">
        <f>G30*25%</f>
        <v>225269.75</v>
      </c>
      <c r="I30" s="1052">
        <f>+G30*0.15</f>
        <v>135161.85</v>
      </c>
      <c r="J30" s="1052">
        <f>+G30*0.25</f>
        <v>225269.75</v>
      </c>
      <c r="K30" s="1052"/>
      <c r="L30" s="1052"/>
      <c r="M30" s="33"/>
      <c r="N30" s="33"/>
      <c r="O30" s="33"/>
      <c r="P30" s="1052"/>
      <c r="Q30" s="1053">
        <f t="shared" si="0"/>
        <v>585701.35</v>
      </c>
      <c r="R30" s="1049"/>
      <c r="S30" s="1049"/>
      <c r="T30" s="1049"/>
      <c r="U30" s="1054">
        <f t="shared" si="1"/>
        <v>120143.86666666668</v>
      </c>
      <c r="V30" s="1055">
        <f t="shared" si="2"/>
        <v>120143.86666666668</v>
      </c>
      <c r="W30" s="1052">
        <v>132000</v>
      </c>
      <c r="X30" s="1052">
        <v>26400</v>
      </c>
      <c r="Y30" s="1055">
        <f t="shared" si="3"/>
        <v>158400</v>
      </c>
      <c r="Z30" s="1056">
        <f t="shared" si="4"/>
        <v>1765324.2166666668</v>
      </c>
      <c r="AA30" s="1056">
        <f t="shared" si="5"/>
        <v>21183890.600000001</v>
      </c>
    </row>
    <row r="31" spans="1:27" ht="27">
      <c r="A31" s="1049">
        <v>25</v>
      </c>
      <c r="B31" s="1057" t="s">
        <v>2599</v>
      </c>
      <c r="C31" s="1057" t="s">
        <v>2600</v>
      </c>
      <c r="D31" s="1065" t="s">
        <v>2598</v>
      </c>
      <c r="E31" s="1059" t="s">
        <v>1021</v>
      </c>
      <c r="F31" s="1059" t="s">
        <v>2601</v>
      </c>
      <c r="G31" s="1052">
        <v>770701</v>
      </c>
      <c r="H31" s="1061">
        <f>G31*5%</f>
        <v>38535.050000000003</v>
      </c>
      <c r="I31" s="1052"/>
      <c r="J31" s="1052">
        <f>+G31*0.1</f>
        <v>77070.100000000006</v>
      </c>
      <c r="K31" s="1052">
        <f>+G31*0.1</f>
        <v>77070.100000000006</v>
      </c>
      <c r="L31" s="1052"/>
      <c r="M31" s="33"/>
      <c r="N31" s="33"/>
      <c r="O31" s="33"/>
      <c r="P31" s="1052"/>
      <c r="Q31" s="1053">
        <f t="shared" si="0"/>
        <v>192675.25</v>
      </c>
      <c r="R31" s="1049"/>
      <c r="S31" s="1049"/>
      <c r="T31" s="1049"/>
      <c r="U31" s="1054">
        <f t="shared" si="1"/>
        <v>102760.13333333335</v>
      </c>
      <c r="V31" s="1055">
        <f t="shared" si="2"/>
        <v>102760.13333333335</v>
      </c>
      <c r="W31" s="1052">
        <v>132000</v>
      </c>
      <c r="X31" s="1052">
        <v>26400</v>
      </c>
      <c r="Y31" s="1055">
        <f t="shared" si="3"/>
        <v>158400</v>
      </c>
      <c r="Z31" s="1056">
        <f t="shared" si="4"/>
        <v>1224536.3833333333</v>
      </c>
      <c r="AA31" s="1056">
        <f t="shared" si="5"/>
        <v>14694436.6</v>
      </c>
    </row>
    <row r="32" spans="1:27" ht="27">
      <c r="A32" s="1049">
        <v>26</v>
      </c>
      <c r="B32" s="1057" t="s">
        <v>2602</v>
      </c>
      <c r="C32" s="1057" t="s">
        <v>2603</v>
      </c>
      <c r="D32" s="1065" t="s">
        <v>2598</v>
      </c>
      <c r="E32" s="1059" t="s">
        <v>163</v>
      </c>
      <c r="F32" s="1059" t="s">
        <v>254</v>
      </c>
      <c r="G32" s="1052">
        <v>740561</v>
      </c>
      <c r="H32" s="1061">
        <f>G32*5%</f>
        <v>37028.050000000003</v>
      </c>
      <c r="I32" s="1052"/>
      <c r="J32" s="1052">
        <f>+G32*0.2</f>
        <v>148112.20000000001</v>
      </c>
      <c r="K32" s="1052"/>
      <c r="L32" s="1052"/>
      <c r="M32" s="33"/>
      <c r="N32" s="33"/>
      <c r="O32" s="33"/>
      <c r="P32" s="1052"/>
      <c r="Q32" s="1053">
        <f t="shared" si="0"/>
        <v>185140.25</v>
      </c>
      <c r="R32" s="1049"/>
      <c r="S32" s="1049"/>
      <c r="T32" s="1049"/>
      <c r="U32" s="1054">
        <f t="shared" si="1"/>
        <v>98741.466666666674</v>
      </c>
      <c r="V32" s="1055">
        <f t="shared" si="2"/>
        <v>98741.466666666674</v>
      </c>
      <c r="W32" s="1052">
        <v>132000</v>
      </c>
      <c r="X32" s="1052">
        <v>26400</v>
      </c>
      <c r="Y32" s="1055">
        <f t="shared" si="3"/>
        <v>158400</v>
      </c>
      <c r="Z32" s="1056">
        <f t="shared" si="4"/>
        <v>1182842.7166666668</v>
      </c>
      <c r="AA32" s="1056">
        <f t="shared" si="5"/>
        <v>14194112.600000001</v>
      </c>
    </row>
    <row r="33" spans="1:27" ht="27">
      <c r="A33" s="1049">
        <v>27</v>
      </c>
      <c r="B33" s="1064" t="s">
        <v>2604</v>
      </c>
      <c r="C33" s="1064" t="s">
        <v>2605</v>
      </c>
      <c r="D33" s="1065" t="s">
        <v>2598</v>
      </c>
      <c r="E33" s="1059" t="s">
        <v>163</v>
      </c>
      <c r="F33" s="1059" t="s">
        <v>262</v>
      </c>
      <c r="G33" s="1052">
        <v>669861</v>
      </c>
      <c r="H33" s="1061"/>
      <c r="I33" s="1052"/>
      <c r="J33" s="1052"/>
      <c r="K33" s="1052"/>
      <c r="L33" s="1052"/>
      <c r="M33" s="33"/>
      <c r="N33" s="33"/>
      <c r="O33" s="33"/>
      <c r="P33" s="1052"/>
      <c r="Q33" s="1053">
        <f t="shared" si="0"/>
        <v>0</v>
      </c>
      <c r="R33" s="1049"/>
      <c r="S33" s="1049"/>
      <c r="T33" s="1049"/>
      <c r="U33" s="1054">
        <f t="shared" si="1"/>
        <v>89314.8</v>
      </c>
      <c r="V33" s="1055">
        <f t="shared" si="2"/>
        <v>89314.8</v>
      </c>
      <c r="W33" s="1052">
        <v>132000</v>
      </c>
      <c r="X33" s="1052">
        <v>26400</v>
      </c>
      <c r="Y33" s="1055">
        <f t="shared" si="3"/>
        <v>158400</v>
      </c>
      <c r="Z33" s="1056">
        <f t="shared" si="4"/>
        <v>917575.8</v>
      </c>
      <c r="AA33" s="1056">
        <f t="shared" si="5"/>
        <v>11010909.600000001</v>
      </c>
    </row>
    <row r="34" spans="1:27" ht="27">
      <c r="A34" s="1049">
        <v>28</v>
      </c>
      <c r="B34" s="1064" t="s">
        <v>2606</v>
      </c>
      <c r="C34" s="1064" t="s">
        <v>2607</v>
      </c>
      <c r="D34" s="1065" t="s">
        <v>2598</v>
      </c>
      <c r="E34" s="1059" t="s">
        <v>163</v>
      </c>
      <c r="F34" s="1059" t="s">
        <v>262</v>
      </c>
      <c r="G34" s="1052">
        <v>669862</v>
      </c>
      <c r="H34" s="1061"/>
      <c r="I34" s="1052"/>
      <c r="J34" s="1052"/>
      <c r="K34" s="1052"/>
      <c r="L34" s="1052"/>
      <c r="M34" s="33"/>
      <c r="N34" s="33"/>
      <c r="O34" s="33"/>
      <c r="P34" s="1052"/>
      <c r="Q34" s="1053">
        <f t="shared" si="0"/>
        <v>0</v>
      </c>
      <c r="R34" s="1049"/>
      <c r="S34" s="1049"/>
      <c r="T34" s="1049"/>
      <c r="U34" s="1054">
        <f t="shared" si="1"/>
        <v>89314.933333333334</v>
      </c>
      <c r="V34" s="1055">
        <f t="shared" si="2"/>
        <v>89314.933333333334</v>
      </c>
      <c r="W34" s="1052">
        <v>132000</v>
      </c>
      <c r="X34" s="1052">
        <v>26400</v>
      </c>
      <c r="Y34" s="1055">
        <f t="shared" si="3"/>
        <v>158400</v>
      </c>
      <c r="Z34" s="1056">
        <f t="shared" si="4"/>
        <v>917576.93333333335</v>
      </c>
      <c r="AA34" s="1056">
        <f t="shared" si="5"/>
        <v>11010923.199999999</v>
      </c>
    </row>
    <row r="35" spans="1:27" ht="27">
      <c r="A35" s="1049">
        <v>29</v>
      </c>
      <c r="B35" s="1057" t="s">
        <v>2608</v>
      </c>
      <c r="C35" s="1057" t="s">
        <v>2609</v>
      </c>
      <c r="D35" s="1065" t="s">
        <v>2598</v>
      </c>
      <c r="E35" s="1059" t="s">
        <v>163</v>
      </c>
      <c r="F35" s="1059" t="s">
        <v>254</v>
      </c>
      <c r="G35" s="1052">
        <v>740561</v>
      </c>
      <c r="H35" s="1061">
        <f>G35*5%</f>
        <v>37028.050000000003</v>
      </c>
      <c r="I35" s="1052"/>
      <c r="J35" s="1052"/>
      <c r="K35" s="1052"/>
      <c r="L35" s="1052"/>
      <c r="M35" s="33"/>
      <c r="N35" s="33"/>
      <c r="O35" s="33"/>
      <c r="P35" s="1052"/>
      <c r="Q35" s="1053">
        <f t="shared" si="0"/>
        <v>37028.050000000003</v>
      </c>
      <c r="R35" s="1049"/>
      <c r="S35" s="1049"/>
      <c r="T35" s="1049"/>
      <c r="U35" s="1054">
        <f t="shared" si="1"/>
        <v>98741.466666666674</v>
      </c>
      <c r="V35" s="1055">
        <f t="shared" si="2"/>
        <v>98741.466666666674</v>
      </c>
      <c r="W35" s="1052">
        <v>132000</v>
      </c>
      <c r="X35" s="1052">
        <v>26400</v>
      </c>
      <c r="Y35" s="1055">
        <f t="shared" si="3"/>
        <v>158400</v>
      </c>
      <c r="Z35" s="1056">
        <f t="shared" si="4"/>
        <v>1034730.5166666666</v>
      </c>
      <c r="AA35" s="1056">
        <f t="shared" si="5"/>
        <v>12416766.199999999</v>
      </c>
    </row>
    <row r="36" spans="1:27" ht="27">
      <c r="A36" s="1049">
        <v>30</v>
      </c>
      <c r="B36" s="1057" t="s">
        <v>2610</v>
      </c>
      <c r="C36" s="1057" t="s">
        <v>2611</v>
      </c>
      <c r="D36" s="1065" t="s">
        <v>2598</v>
      </c>
      <c r="E36" s="1059" t="s">
        <v>163</v>
      </c>
      <c r="F36" s="1059" t="s">
        <v>251</v>
      </c>
      <c r="G36" s="1052">
        <v>651503</v>
      </c>
      <c r="H36" s="1061">
        <f>G36*10%</f>
        <v>65150.3</v>
      </c>
      <c r="I36" s="1052"/>
      <c r="J36" s="1052"/>
      <c r="K36" s="1052"/>
      <c r="L36" s="1052"/>
      <c r="M36" s="33"/>
      <c r="N36" s="33"/>
      <c r="O36" s="33"/>
      <c r="P36" s="1052"/>
      <c r="Q36" s="1053">
        <f t="shared" si="0"/>
        <v>65150.3</v>
      </c>
      <c r="R36" s="1049"/>
      <c r="S36" s="1049"/>
      <c r="T36" s="1049"/>
      <c r="U36" s="1054">
        <f t="shared" si="1"/>
        <v>86867.066666666666</v>
      </c>
      <c r="V36" s="1055">
        <f t="shared" si="2"/>
        <v>86867.066666666666</v>
      </c>
      <c r="W36" s="1052">
        <v>132000</v>
      </c>
      <c r="X36" s="1052">
        <v>26400</v>
      </c>
      <c r="Y36" s="1055">
        <f t="shared" si="3"/>
        <v>158400</v>
      </c>
      <c r="Z36" s="1056">
        <f t="shared" si="4"/>
        <v>961920.3666666667</v>
      </c>
      <c r="AA36" s="1056">
        <f t="shared" si="5"/>
        <v>11543044.4</v>
      </c>
    </row>
    <row r="37" spans="1:27" ht="27">
      <c r="A37" s="1049">
        <v>31</v>
      </c>
      <c r="B37" s="1057" t="s">
        <v>2612</v>
      </c>
      <c r="C37" s="1057" t="s">
        <v>2613</v>
      </c>
      <c r="D37" s="1065" t="s">
        <v>2598</v>
      </c>
      <c r="E37" s="1059" t="s">
        <v>163</v>
      </c>
      <c r="F37" s="1059" t="s">
        <v>251</v>
      </c>
      <c r="G37" s="1052">
        <v>651503</v>
      </c>
      <c r="H37" s="1061">
        <f t="shared" ref="H37:H43" si="6">G37*5%</f>
        <v>32575.15</v>
      </c>
      <c r="I37" s="1052"/>
      <c r="J37" s="1052"/>
      <c r="K37" s="1052"/>
      <c r="L37" s="1052"/>
      <c r="M37" s="33"/>
      <c r="N37" s="33"/>
      <c r="O37" s="33"/>
      <c r="P37" s="1052"/>
      <c r="Q37" s="1053">
        <f t="shared" si="0"/>
        <v>32575.15</v>
      </c>
      <c r="R37" s="1049"/>
      <c r="S37" s="1049"/>
      <c r="T37" s="1049"/>
      <c r="U37" s="1054">
        <f>(G37*40%)/3</f>
        <v>86867.066666666666</v>
      </c>
      <c r="V37" s="1055">
        <f t="shared" si="2"/>
        <v>86867.066666666666</v>
      </c>
      <c r="W37" s="1052">
        <v>132000</v>
      </c>
      <c r="X37" s="1052">
        <v>26400</v>
      </c>
      <c r="Y37" s="1055">
        <f t="shared" si="3"/>
        <v>158400</v>
      </c>
      <c r="Z37" s="1056">
        <f t="shared" si="4"/>
        <v>929345.21666666667</v>
      </c>
      <c r="AA37" s="1056">
        <f>+Z37*12</f>
        <v>11152142.6</v>
      </c>
    </row>
    <row r="38" spans="1:27" ht="27">
      <c r="A38" s="1049">
        <v>32</v>
      </c>
      <c r="B38" s="1064" t="s">
        <v>2614</v>
      </c>
      <c r="C38" s="1064" t="s">
        <v>2615</v>
      </c>
      <c r="D38" s="1065" t="s">
        <v>2598</v>
      </c>
      <c r="E38" s="1059" t="s">
        <v>163</v>
      </c>
      <c r="F38" s="1059" t="s">
        <v>254</v>
      </c>
      <c r="G38" s="1052">
        <v>740561</v>
      </c>
      <c r="H38" s="1061">
        <f t="shared" si="6"/>
        <v>37028.050000000003</v>
      </c>
      <c r="I38" s="1052"/>
      <c r="J38" s="1052">
        <f>G38*0.2</f>
        <v>148112.20000000001</v>
      </c>
      <c r="K38" s="1052">
        <f>+G38*0.1</f>
        <v>74056.100000000006</v>
      </c>
      <c r="L38" s="1052"/>
      <c r="M38" s="33"/>
      <c r="N38" s="33"/>
      <c r="O38" s="33"/>
      <c r="P38" s="1052"/>
      <c r="Q38" s="1053">
        <f t="shared" si="0"/>
        <v>259196.35</v>
      </c>
      <c r="R38" s="1049"/>
      <c r="S38" s="1049"/>
      <c r="T38" s="1049"/>
      <c r="U38" s="1054">
        <f t="shared" si="1"/>
        <v>98741.466666666674</v>
      </c>
      <c r="V38" s="1055">
        <f t="shared" si="2"/>
        <v>98741.466666666674</v>
      </c>
      <c r="W38" s="1052">
        <v>132000</v>
      </c>
      <c r="X38" s="1052">
        <v>26400</v>
      </c>
      <c r="Y38" s="1055">
        <f t="shared" si="3"/>
        <v>158400</v>
      </c>
      <c r="Z38" s="1056">
        <f t="shared" si="4"/>
        <v>1256898.8166666667</v>
      </c>
      <c r="AA38" s="1056">
        <f t="shared" si="5"/>
        <v>15082785.800000001</v>
      </c>
    </row>
    <row r="39" spans="1:27" ht="27">
      <c r="A39" s="1049">
        <v>33</v>
      </c>
      <c r="B39" s="1064" t="s">
        <v>2616</v>
      </c>
      <c r="C39" s="1064" t="s">
        <v>2617</v>
      </c>
      <c r="D39" s="1065" t="s">
        <v>2598</v>
      </c>
      <c r="E39" s="1059" t="s">
        <v>163</v>
      </c>
      <c r="F39" s="1059" t="s">
        <v>262</v>
      </c>
      <c r="G39" s="1052">
        <v>669861</v>
      </c>
      <c r="H39" s="1061">
        <f t="shared" si="6"/>
        <v>33493.050000000003</v>
      </c>
      <c r="I39" s="1052"/>
      <c r="J39" s="1052"/>
      <c r="K39" s="1052"/>
      <c r="L39" s="1052"/>
      <c r="M39" s="33"/>
      <c r="N39" s="33"/>
      <c r="O39" s="33"/>
      <c r="P39" s="1052"/>
      <c r="Q39" s="1053">
        <f t="shared" si="0"/>
        <v>33493.050000000003</v>
      </c>
      <c r="R39" s="1049"/>
      <c r="S39" s="1049"/>
      <c r="T39" s="1049"/>
      <c r="U39" s="1054">
        <f t="shared" si="1"/>
        <v>89314.8</v>
      </c>
      <c r="V39" s="1055">
        <f t="shared" si="2"/>
        <v>89314.8</v>
      </c>
      <c r="W39" s="1052">
        <v>132000</v>
      </c>
      <c r="X39" s="1052">
        <v>26400</v>
      </c>
      <c r="Y39" s="1055">
        <f t="shared" si="3"/>
        <v>158400</v>
      </c>
      <c r="Z39" s="1056">
        <f t="shared" si="4"/>
        <v>951068.85</v>
      </c>
      <c r="AA39" s="1056">
        <f t="shared" si="5"/>
        <v>11412826.199999999</v>
      </c>
    </row>
    <row r="40" spans="1:27" ht="27">
      <c r="A40" s="1049">
        <v>34</v>
      </c>
      <c r="B40" s="1057" t="s">
        <v>2618</v>
      </c>
      <c r="C40" s="1057" t="s">
        <v>2619</v>
      </c>
      <c r="D40" s="1065" t="s">
        <v>2598</v>
      </c>
      <c r="E40" s="1059" t="s">
        <v>245</v>
      </c>
      <c r="F40" s="1059" t="s">
        <v>1001</v>
      </c>
      <c r="G40" s="1052">
        <v>669861</v>
      </c>
      <c r="H40" s="1061">
        <f t="shared" si="6"/>
        <v>33493.050000000003</v>
      </c>
      <c r="I40" s="1052"/>
      <c r="J40" s="1052"/>
      <c r="K40" s="1052"/>
      <c r="L40" s="1052"/>
      <c r="M40" s="33"/>
      <c r="N40" s="33"/>
      <c r="O40" s="33"/>
      <c r="P40" s="1052"/>
      <c r="Q40" s="1053">
        <f t="shared" si="0"/>
        <v>33493.050000000003</v>
      </c>
      <c r="R40" s="1049"/>
      <c r="S40" s="1049"/>
      <c r="T40" s="1049"/>
      <c r="U40" s="1054">
        <f t="shared" si="1"/>
        <v>89314.8</v>
      </c>
      <c r="V40" s="1055">
        <f t="shared" si="2"/>
        <v>89314.8</v>
      </c>
      <c r="W40" s="1052">
        <v>132000</v>
      </c>
      <c r="X40" s="1052">
        <v>26400</v>
      </c>
      <c r="Y40" s="1055">
        <f t="shared" si="3"/>
        <v>158400</v>
      </c>
      <c r="Z40" s="1056">
        <f t="shared" si="4"/>
        <v>951068.85</v>
      </c>
      <c r="AA40" s="1056">
        <f t="shared" si="5"/>
        <v>11412826.199999999</v>
      </c>
    </row>
    <row r="41" spans="1:27" ht="27">
      <c r="A41" s="1049">
        <v>35</v>
      </c>
      <c r="B41" s="1064" t="s">
        <v>2620</v>
      </c>
      <c r="C41" s="1064" t="s">
        <v>2621</v>
      </c>
      <c r="D41" s="1065" t="s">
        <v>2598</v>
      </c>
      <c r="E41" s="1059" t="s">
        <v>163</v>
      </c>
      <c r="F41" s="1059" t="s">
        <v>1001</v>
      </c>
      <c r="G41" s="1052">
        <v>669861</v>
      </c>
      <c r="H41" s="1061">
        <f t="shared" si="6"/>
        <v>33493.050000000003</v>
      </c>
      <c r="I41" s="1052"/>
      <c r="J41" s="1052"/>
      <c r="K41" s="1052"/>
      <c r="L41" s="1052"/>
      <c r="M41" s="33"/>
      <c r="N41" s="33"/>
      <c r="O41" s="33"/>
      <c r="P41" s="1052"/>
      <c r="Q41" s="1053">
        <f t="shared" si="0"/>
        <v>33493.050000000003</v>
      </c>
      <c r="R41" s="1049"/>
      <c r="S41" s="1049"/>
      <c r="T41" s="1049"/>
      <c r="U41" s="1054">
        <f t="shared" si="1"/>
        <v>89314.8</v>
      </c>
      <c r="V41" s="1055">
        <f t="shared" si="2"/>
        <v>89314.8</v>
      </c>
      <c r="W41" s="1052">
        <v>132000</v>
      </c>
      <c r="X41" s="1052">
        <v>26400</v>
      </c>
      <c r="Y41" s="1055">
        <f t="shared" si="3"/>
        <v>158400</v>
      </c>
      <c r="Z41" s="1056">
        <f t="shared" si="4"/>
        <v>951068.85</v>
      </c>
      <c r="AA41" s="1056">
        <f t="shared" si="5"/>
        <v>11412826.199999999</v>
      </c>
    </row>
    <row r="42" spans="1:27" ht="27">
      <c r="A42" s="1049">
        <v>36</v>
      </c>
      <c r="B42" s="1057" t="s">
        <v>2622</v>
      </c>
      <c r="C42" s="1057" t="s">
        <v>2623</v>
      </c>
      <c r="D42" s="1065" t="s">
        <v>2598</v>
      </c>
      <c r="E42" s="1059" t="s">
        <v>245</v>
      </c>
      <c r="F42" s="1059" t="s">
        <v>1001</v>
      </c>
      <c r="G42" s="1052">
        <v>669861</v>
      </c>
      <c r="H42" s="1061">
        <f t="shared" si="6"/>
        <v>33493.050000000003</v>
      </c>
      <c r="I42" s="1052"/>
      <c r="J42" s="1052"/>
      <c r="K42" s="1052"/>
      <c r="L42" s="1052"/>
      <c r="M42" s="33"/>
      <c r="N42" s="33"/>
      <c r="O42" s="33"/>
      <c r="P42" s="1052"/>
      <c r="Q42" s="1053">
        <f t="shared" si="0"/>
        <v>33493.050000000003</v>
      </c>
      <c r="R42" s="1049"/>
      <c r="S42" s="1049"/>
      <c r="T42" s="1049"/>
      <c r="U42" s="1054">
        <f t="shared" si="1"/>
        <v>89314.8</v>
      </c>
      <c r="V42" s="1055">
        <f t="shared" si="2"/>
        <v>89314.8</v>
      </c>
      <c r="W42" s="1052">
        <v>132000</v>
      </c>
      <c r="X42" s="1052">
        <v>26400</v>
      </c>
      <c r="Y42" s="1055">
        <f t="shared" si="3"/>
        <v>158400</v>
      </c>
      <c r="Z42" s="1056">
        <f t="shared" si="4"/>
        <v>951068.85</v>
      </c>
      <c r="AA42" s="1056">
        <f t="shared" si="5"/>
        <v>11412826.199999999</v>
      </c>
    </row>
    <row r="43" spans="1:27" ht="27">
      <c r="A43" s="1049">
        <v>37</v>
      </c>
      <c r="B43" s="1057" t="s">
        <v>2624</v>
      </c>
      <c r="C43" s="1057" t="s">
        <v>2625</v>
      </c>
      <c r="D43" s="1065" t="s">
        <v>2598</v>
      </c>
      <c r="E43" s="1059" t="s">
        <v>245</v>
      </c>
      <c r="F43" s="1059" t="s">
        <v>1001</v>
      </c>
      <c r="G43" s="1052">
        <v>669861</v>
      </c>
      <c r="H43" s="1061">
        <f t="shared" si="6"/>
        <v>33493.050000000003</v>
      </c>
      <c r="I43" s="1052"/>
      <c r="J43" s="1052">
        <f>+G43*0.2</f>
        <v>133972.20000000001</v>
      </c>
      <c r="K43" s="1052"/>
      <c r="L43" s="1052"/>
      <c r="M43" s="33"/>
      <c r="N43" s="33"/>
      <c r="O43" s="33"/>
      <c r="P43" s="1052"/>
      <c r="Q43" s="1053">
        <f t="shared" si="0"/>
        <v>167465.25</v>
      </c>
      <c r="R43" s="1049"/>
      <c r="S43" s="1049"/>
      <c r="T43" s="1049"/>
      <c r="U43" s="1054">
        <f t="shared" si="1"/>
        <v>89314.8</v>
      </c>
      <c r="V43" s="1055">
        <f t="shared" si="2"/>
        <v>89314.8</v>
      </c>
      <c r="W43" s="1052">
        <v>132000</v>
      </c>
      <c r="X43" s="1052">
        <v>26400</v>
      </c>
      <c r="Y43" s="1055">
        <f t="shared" si="3"/>
        <v>158400</v>
      </c>
      <c r="Z43" s="1056">
        <f t="shared" si="4"/>
        <v>1085041.05</v>
      </c>
      <c r="AA43" s="1056">
        <f t="shared" si="5"/>
        <v>13020492.600000001</v>
      </c>
    </row>
    <row r="44" spans="1:27" ht="27">
      <c r="A44" s="1049">
        <v>38</v>
      </c>
      <c r="B44" s="1057" t="s">
        <v>2626</v>
      </c>
      <c r="C44" s="1057" t="s">
        <v>2627</v>
      </c>
      <c r="D44" s="1065" t="s">
        <v>2598</v>
      </c>
      <c r="E44" s="1059" t="s">
        <v>245</v>
      </c>
      <c r="F44" s="1059" t="s">
        <v>264</v>
      </c>
      <c r="G44" s="1052">
        <v>651503</v>
      </c>
      <c r="H44" s="1052"/>
      <c r="I44" s="1052"/>
      <c r="J44" s="1052"/>
      <c r="K44" s="1052"/>
      <c r="L44" s="1052"/>
      <c r="M44" s="33"/>
      <c r="N44" s="33"/>
      <c r="O44" s="33"/>
      <c r="P44" s="1052"/>
      <c r="Q44" s="1053">
        <f t="shared" si="0"/>
        <v>0</v>
      </c>
      <c r="R44" s="1049"/>
      <c r="S44" s="1049"/>
      <c r="T44" s="1049"/>
      <c r="U44" s="1054">
        <f t="shared" si="1"/>
        <v>86867.066666666666</v>
      </c>
      <c r="V44" s="1055">
        <f t="shared" si="2"/>
        <v>86867.066666666666</v>
      </c>
      <c r="W44" s="1052">
        <v>132000</v>
      </c>
      <c r="X44" s="1052">
        <v>26400</v>
      </c>
      <c r="Y44" s="1055">
        <f t="shared" si="3"/>
        <v>158400</v>
      </c>
      <c r="Z44" s="1056">
        <f t="shared" si="4"/>
        <v>896770.06666666665</v>
      </c>
      <c r="AA44" s="1056">
        <f t="shared" si="5"/>
        <v>10761240.800000001</v>
      </c>
    </row>
    <row r="45" spans="1:27" ht="27">
      <c r="A45" s="1049">
        <v>39</v>
      </c>
      <c r="B45" s="1057" t="s">
        <v>2628</v>
      </c>
      <c r="C45" s="1057" t="s">
        <v>2629</v>
      </c>
      <c r="D45" s="1065" t="s">
        <v>2598</v>
      </c>
      <c r="E45" s="1059" t="s">
        <v>245</v>
      </c>
      <c r="F45" s="1059" t="s">
        <v>264</v>
      </c>
      <c r="G45" s="1052">
        <v>651503</v>
      </c>
      <c r="H45" s="1052"/>
      <c r="I45" s="1052"/>
      <c r="J45" s="1052"/>
      <c r="K45" s="1052"/>
      <c r="L45" s="1052"/>
      <c r="M45" s="33"/>
      <c r="N45" s="33"/>
      <c r="O45" s="33"/>
      <c r="P45" s="1052"/>
      <c r="Q45" s="1053">
        <f t="shared" si="0"/>
        <v>0</v>
      </c>
      <c r="R45" s="1049"/>
      <c r="S45" s="1049"/>
      <c r="T45" s="1049"/>
      <c r="U45" s="1054">
        <f t="shared" si="1"/>
        <v>86867.066666666666</v>
      </c>
      <c r="V45" s="1055">
        <f t="shared" si="2"/>
        <v>86867.066666666666</v>
      </c>
      <c r="W45" s="1052">
        <v>132000</v>
      </c>
      <c r="X45" s="1052">
        <v>26400</v>
      </c>
      <c r="Y45" s="1055">
        <f t="shared" si="3"/>
        <v>158400</v>
      </c>
      <c r="Z45" s="1056">
        <f t="shared" si="4"/>
        <v>896770.06666666665</v>
      </c>
      <c r="AA45" s="1056">
        <f t="shared" si="5"/>
        <v>10761240.800000001</v>
      </c>
    </row>
    <row r="46" spans="1:27" ht="27">
      <c r="A46" s="1049">
        <v>40</v>
      </c>
      <c r="B46" s="1064" t="s">
        <v>2630</v>
      </c>
      <c r="C46" s="1064" t="s">
        <v>2631</v>
      </c>
      <c r="D46" s="1065" t="s">
        <v>1023</v>
      </c>
      <c r="E46" s="1059" t="s">
        <v>240</v>
      </c>
      <c r="F46" s="1059" t="s">
        <v>241</v>
      </c>
      <c r="G46" s="1052">
        <v>901079</v>
      </c>
      <c r="H46" s="1052"/>
      <c r="I46" s="1052"/>
      <c r="J46" s="1052">
        <f>+G46*20/100</f>
        <v>180215.8</v>
      </c>
      <c r="K46" s="1052"/>
      <c r="L46" s="1052"/>
      <c r="M46" s="33"/>
      <c r="N46" s="33"/>
      <c r="O46" s="33"/>
      <c r="P46" s="1052"/>
      <c r="Q46" s="1053">
        <f t="shared" si="0"/>
        <v>180215.8</v>
      </c>
      <c r="R46" s="1049"/>
      <c r="S46" s="1049"/>
      <c r="T46" s="1049"/>
      <c r="U46" s="1054">
        <f t="shared" si="1"/>
        <v>120143.86666666668</v>
      </c>
      <c r="V46" s="1055">
        <f t="shared" si="2"/>
        <v>120143.86666666668</v>
      </c>
      <c r="W46" s="1052">
        <v>132000</v>
      </c>
      <c r="X46" s="1052">
        <v>26400</v>
      </c>
      <c r="Y46" s="1055">
        <f t="shared" si="3"/>
        <v>158400</v>
      </c>
      <c r="Z46" s="1056">
        <f t="shared" si="4"/>
        <v>1359838.6666666667</v>
      </c>
      <c r="AA46" s="1056">
        <f t="shared" si="5"/>
        <v>16318064</v>
      </c>
    </row>
    <row r="47" spans="1:27" ht="27">
      <c r="A47" s="1049">
        <v>41</v>
      </c>
      <c r="B47" s="1057" t="s">
        <v>2632</v>
      </c>
      <c r="C47" s="1057" t="s">
        <v>2633</v>
      </c>
      <c r="D47" s="1065" t="s">
        <v>1023</v>
      </c>
      <c r="E47" s="1059" t="s">
        <v>1005</v>
      </c>
      <c r="F47" s="1059" t="s">
        <v>1006</v>
      </c>
      <c r="G47" s="1052">
        <v>770701</v>
      </c>
      <c r="H47" s="1061">
        <f>G47*15%</f>
        <v>115605.15</v>
      </c>
      <c r="I47" s="1067"/>
      <c r="J47" s="1052">
        <f>+G47*20/100</f>
        <v>154140.20000000001</v>
      </c>
      <c r="K47" s="1052">
        <f>G47*0.1</f>
        <v>77070.100000000006</v>
      </c>
      <c r="L47" s="1052"/>
      <c r="M47" s="33"/>
      <c r="N47" s="33"/>
      <c r="O47" s="33"/>
      <c r="P47" s="1067"/>
      <c r="Q47" s="1053">
        <f t="shared" si="0"/>
        <v>346815.44999999995</v>
      </c>
      <c r="R47" s="1049"/>
      <c r="S47" s="1049"/>
      <c r="T47" s="1049"/>
      <c r="U47" s="1054">
        <f t="shared" si="1"/>
        <v>102760.13333333335</v>
      </c>
      <c r="V47" s="1055">
        <f t="shared" si="2"/>
        <v>102760.13333333335</v>
      </c>
      <c r="W47" s="1052">
        <v>132000</v>
      </c>
      <c r="X47" s="1052">
        <v>26400</v>
      </c>
      <c r="Y47" s="1055">
        <f t="shared" si="3"/>
        <v>158400</v>
      </c>
      <c r="Z47" s="1056">
        <f t="shared" si="4"/>
        <v>1378676.5833333333</v>
      </c>
      <c r="AA47" s="1056">
        <f t="shared" si="5"/>
        <v>16544119</v>
      </c>
    </row>
    <row r="48" spans="1:27" ht="27">
      <c r="A48" s="1049">
        <v>42</v>
      </c>
      <c r="B48" s="1057" t="s">
        <v>2551</v>
      </c>
      <c r="C48" s="1057" t="s">
        <v>2634</v>
      </c>
      <c r="D48" s="1065" t="s">
        <v>1023</v>
      </c>
      <c r="E48" s="1059" t="s">
        <v>245</v>
      </c>
      <c r="F48" s="1059" t="s">
        <v>262</v>
      </c>
      <c r="G48" s="1052">
        <v>669861</v>
      </c>
      <c r="H48" s="1061"/>
      <c r="I48" s="1052"/>
      <c r="J48" s="1052"/>
      <c r="K48" s="1052"/>
      <c r="L48" s="1052"/>
      <c r="M48" s="33"/>
      <c r="N48" s="33"/>
      <c r="O48" s="33"/>
      <c r="P48" s="1052"/>
      <c r="Q48" s="1053">
        <f t="shared" si="0"/>
        <v>0</v>
      </c>
      <c r="R48" s="1049"/>
      <c r="S48" s="1049"/>
      <c r="T48" s="1049"/>
      <c r="U48" s="1054">
        <f t="shared" si="1"/>
        <v>89314.8</v>
      </c>
      <c r="V48" s="1055">
        <f t="shared" si="2"/>
        <v>89314.8</v>
      </c>
      <c r="W48" s="1052">
        <v>132000</v>
      </c>
      <c r="X48" s="1052">
        <v>26400</v>
      </c>
      <c r="Y48" s="1055">
        <f t="shared" si="3"/>
        <v>158400</v>
      </c>
      <c r="Z48" s="1056">
        <f t="shared" si="4"/>
        <v>917575.8</v>
      </c>
      <c r="AA48" s="1056">
        <f t="shared" si="5"/>
        <v>11010909.600000001</v>
      </c>
    </row>
    <row r="49" spans="1:27" ht="27">
      <c r="A49" s="1049">
        <v>43</v>
      </c>
      <c r="B49" s="1064" t="s">
        <v>2635</v>
      </c>
      <c r="C49" s="1064" t="s">
        <v>2636</v>
      </c>
      <c r="D49" s="1065" t="s">
        <v>1023</v>
      </c>
      <c r="E49" s="1059" t="s">
        <v>253</v>
      </c>
      <c r="F49" s="1059" t="s">
        <v>244</v>
      </c>
      <c r="G49" s="1052">
        <v>740561</v>
      </c>
      <c r="H49" s="1061">
        <f>G49*10%</f>
        <v>74056.100000000006</v>
      </c>
      <c r="I49" s="1052"/>
      <c r="J49" s="1052">
        <f>+G49*25/100</f>
        <v>185140.25</v>
      </c>
      <c r="K49" s="1052">
        <f>+G49*0.15</f>
        <v>111084.15</v>
      </c>
      <c r="L49" s="1052"/>
      <c r="M49" s="33"/>
      <c r="N49" s="33"/>
      <c r="O49" s="33"/>
      <c r="P49" s="1052"/>
      <c r="Q49" s="1053">
        <f t="shared" si="0"/>
        <v>370280.5</v>
      </c>
      <c r="R49" s="1049"/>
      <c r="S49" s="1049"/>
      <c r="T49" s="1049"/>
      <c r="U49" s="1054">
        <f t="shared" si="1"/>
        <v>98741.466666666674</v>
      </c>
      <c r="V49" s="1055">
        <f t="shared" si="2"/>
        <v>98741.466666666674</v>
      </c>
      <c r="W49" s="1052">
        <v>132000</v>
      </c>
      <c r="X49" s="1052">
        <v>26400</v>
      </c>
      <c r="Y49" s="1055">
        <f t="shared" si="3"/>
        <v>158400</v>
      </c>
      <c r="Z49" s="1056">
        <f t="shared" si="4"/>
        <v>1367982.9666666668</v>
      </c>
      <c r="AA49" s="1056">
        <f t="shared" si="5"/>
        <v>16415795.600000001</v>
      </c>
    </row>
    <row r="50" spans="1:27" ht="27">
      <c r="A50" s="1049">
        <v>44</v>
      </c>
      <c r="B50" s="1057" t="s">
        <v>2637</v>
      </c>
      <c r="C50" s="1057" t="s">
        <v>2638</v>
      </c>
      <c r="D50" s="1065" t="s">
        <v>1023</v>
      </c>
      <c r="E50" s="1059" t="s">
        <v>253</v>
      </c>
      <c r="F50" s="1059" t="s">
        <v>2639</v>
      </c>
      <c r="G50" s="1052">
        <v>656689</v>
      </c>
      <c r="H50" s="1068"/>
      <c r="I50" s="1067"/>
      <c r="J50" s="1067"/>
      <c r="K50" s="1052"/>
      <c r="L50" s="1052"/>
      <c r="M50" s="33"/>
      <c r="N50" s="33"/>
      <c r="O50" s="33"/>
      <c r="P50" s="1067"/>
      <c r="Q50" s="1053">
        <f t="shared" si="0"/>
        <v>0</v>
      </c>
      <c r="R50" s="1049"/>
      <c r="S50" s="1049"/>
      <c r="T50" s="1049"/>
      <c r="U50" s="1054">
        <f t="shared" si="1"/>
        <v>87558.53333333334</v>
      </c>
      <c r="V50" s="1055">
        <f t="shared" si="2"/>
        <v>87558.53333333334</v>
      </c>
      <c r="W50" s="1052">
        <v>132000</v>
      </c>
      <c r="X50" s="1052">
        <v>26400</v>
      </c>
      <c r="Y50" s="1055">
        <f t="shared" si="3"/>
        <v>158400</v>
      </c>
      <c r="Z50" s="1056">
        <f t="shared" si="4"/>
        <v>902647.53333333333</v>
      </c>
      <c r="AA50" s="1056">
        <f t="shared" si="5"/>
        <v>10831770.4</v>
      </c>
    </row>
    <row r="51" spans="1:27" ht="27">
      <c r="A51" s="1049">
        <v>45</v>
      </c>
      <c r="B51" s="1064" t="s">
        <v>2640</v>
      </c>
      <c r="C51" s="1064" t="s">
        <v>2641</v>
      </c>
      <c r="D51" s="1065" t="s">
        <v>1023</v>
      </c>
      <c r="E51" s="1059" t="s">
        <v>253</v>
      </c>
      <c r="F51" s="1059" t="s">
        <v>244</v>
      </c>
      <c r="G51" s="1052">
        <v>740561</v>
      </c>
      <c r="H51" s="1061">
        <f>G51*15%</f>
        <v>111084.15</v>
      </c>
      <c r="I51" s="1052"/>
      <c r="J51" s="1052">
        <f>+G51*0.3</f>
        <v>222168.3</v>
      </c>
      <c r="K51" s="1052">
        <f>+G51*0.15</f>
        <v>111084.15</v>
      </c>
      <c r="L51" s="1052"/>
      <c r="M51" s="33"/>
      <c r="N51" s="33"/>
      <c r="O51" s="33"/>
      <c r="P51" s="1052"/>
      <c r="Q51" s="1053">
        <f t="shared" si="0"/>
        <v>444336.6</v>
      </c>
      <c r="R51" s="1049"/>
      <c r="S51" s="1049"/>
      <c r="T51" s="1049"/>
      <c r="U51" s="1054">
        <f t="shared" si="1"/>
        <v>98741.466666666674</v>
      </c>
      <c r="V51" s="1055">
        <f t="shared" si="2"/>
        <v>98741.466666666674</v>
      </c>
      <c r="W51" s="1052">
        <v>132000</v>
      </c>
      <c r="X51" s="1052">
        <v>26400</v>
      </c>
      <c r="Y51" s="1055">
        <f t="shared" si="3"/>
        <v>158400</v>
      </c>
      <c r="Z51" s="1056">
        <f t="shared" si="4"/>
        <v>1442039.0666666667</v>
      </c>
      <c r="AA51" s="1056">
        <f t="shared" si="5"/>
        <v>17304468.800000001</v>
      </c>
    </row>
    <row r="52" spans="1:27" ht="27">
      <c r="A52" s="1049">
        <v>46</v>
      </c>
      <c r="B52" s="1057" t="s">
        <v>2642</v>
      </c>
      <c r="C52" s="1057" t="s">
        <v>2643</v>
      </c>
      <c r="D52" s="1065" t="s">
        <v>1023</v>
      </c>
      <c r="E52" s="1059" t="s">
        <v>1005</v>
      </c>
      <c r="F52" s="1059" t="s">
        <v>1006</v>
      </c>
      <c r="G52" s="1052">
        <v>770701</v>
      </c>
      <c r="H52" s="1061">
        <f>G52*15%</f>
        <v>115605.15</v>
      </c>
      <c r="I52" s="1052"/>
      <c r="J52" s="1052">
        <f>+G52*0.2</f>
        <v>154140.20000000001</v>
      </c>
      <c r="K52" s="1052">
        <f>+G52*0.1</f>
        <v>77070.100000000006</v>
      </c>
      <c r="L52" s="1052"/>
      <c r="M52" s="33"/>
      <c r="N52" s="33"/>
      <c r="O52" s="33"/>
      <c r="P52" s="1052"/>
      <c r="Q52" s="1053">
        <f t="shared" si="0"/>
        <v>346815.44999999995</v>
      </c>
      <c r="R52" s="1049"/>
      <c r="S52" s="1049"/>
      <c r="T52" s="1049"/>
      <c r="U52" s="1054">
        <f t="shared" si="1"/>
        <v>102760.13333333335</v>
      </c>
      <c r="V52" s="1055">
        <f t="shared" si="2"/>
        <v>102760.13333333335</v>
      </c>
      <c r="W52" s="1052">
        <v>132000</v>
      </c>
      <c r="X52" s="1052">
        <v>26400</v>
      </c>
      <c r="Y52" s="1055">
        <f t="shared" si="3"/>
        <v>158400</v>
      </c>
      <c r="Z52" s="1056">
        <f t="shared" si="4"/>
        <v>1378676.5833333333</v>
      </c>
      <c r="AA52" s="1056">
        <f t="shared" si="5"/>
        <v>16544119</v>
      </c>
    </row>
    <row r="53" spans="1:27" ht="27">
      <c r="A53" s="1049">
        <v>47</v>
      </c>
      <c r="B53" s="1062" t="s">
        <v>2644</v>
      </c>
      <c r="C53" s="1062" t="s">
        <v>2645</v>
      </c>
      <c r="D53" s="1065" t="s">
        <v>1023</v>
      </c>
      <c r="E53" s="1059" t="s">
        <v>253</v>
      </c>
      <c r="F53" s="1059" t="s">
        <v>1001</v>
      </c>
      <c r="G53" s="1052">
        <v>669861</v>
      </c>
      <c r="H53" s="1068"/>
      <c r="I53" s="1067"/>
      <c r="J53" s="1069">
        <f>+G53*0.25</f>
        <v>167465.25</v>
      </c>
      <c r="K53" s="1052"/>
      <c r="L53" s="1052"/>
      <c r="M53" s="33"/>
      <c r="N53" s="33"/>
      <c r="O53" s="33"/>
      <c r="P53" s="1067"/>
      <c r="Q53" s="1053">
        <f t="shared" si="0"/>
        <v>167465.25</v>
      </c>
      <c r="R53" s="1049"/>
      <c r="S53" s="1049"/>
      <c r="T53" s="1049"/>
      <c r="U53" s="1054">
        <f t="shared" si="1"/>
        <v>89314.8</v>
      </c>
      <c r="V53" s="1055">
        <f t="shared" si="2"/>
        <v>89314.8</v>
      </c>
      <c r="W53" s="1052">
        <v>132000</v>
      </c>
      <c r="X53" s="1052">
        <v>26400</v>
      </c>
      <c r="Y53" s="1055">
        <f t="shared" si="3"/>
        <v>158400</v>
      </c>
      <c r="Z53" s="1056">
        <f t="shared" si="4"/>
        <v>1085041.05</v>
      </c>
      <c r="AA53" s="1056">
        <f t="shared" si="5"/>
        <v>13020492.600000001</v>
      </c>
    </row>
    <row r="54" spans="1:27" ht="27">
      <c r="A54" s="1049">
        <v>48</v>
      </c>
      <c r="B54" s="1062" t="s">
        <v>2646</v>
      </c>
      <c r="C54" s="1062" t="s">
        <v>2647</v>
      </c>
      <c r="D54" s="1065" t="s">
        <v>1023</v>
      </c>
      <c r="E54" s="1059" t="s">
        <v>253</v>
      </c>
      <c r="F54" s="1059" t="s">
        <v>1001</v>
      </c>
      <c r="G54" s="1052">
        <v>669861</v>
      </c>
      <c r="H54" s="1061">
        <f>G54*5%</f>
        <v>33493.050000000003</v>
      </c>
      <c r="I54" s="1063"/>
      <c r="J54" s="1069">
        <f>+G54*0.25</f>
        <v>167465.25</v>
      </c>
      <c r="K54" s="1052"/>
      <c r="L54" s="1052"/>
      <c r="M54" s="33"/>
      <c r="N54" s="33"/>
      <c r="O54" s="33"/>
      <c r="P54" s="1063"/>
      <c r="Q54" s="1053">
        <f t="shared" si="0"/>
        <v>200958.3</v>
      </c>
      <c r="R54" s="1049"/>
      <c r="S54" s="1049"/>
      <c r="T54" s="1049"/>
      <c r="U54" s="1054">
        <f t="shared" si="1"/>
        <v>89314.8</v>
      </c>
      <c r="V54" s="1055">
        <f t="shared" si="2"/>
        <v>89314.8</v>
      </c>
      <c r="W54" s="1052">
        <v>132000</v>
      </c>
      <c r="X54" s="1052">
        <v>26400</v>
      </c>
      <c r="Y54" s="1055">
        <f t="shared" si="3"/>
        <v>158400</v>
      </c>
      <c r="Z54" s="1056">
        <f t="shared" si="4"/>
        <v>1118534.1000000001</v>
      </c>
      <c r="AA54" s="1056">
        <f t="shared" si="5"/>
        <v>13422409.200000001</v>
      </c>
    </row>
    <row r="55" spans="1:27" ht="27">
      <c r="A55" s="1049">
        <v>49</v>
      </c>
      <c r="B55" s="1057" t="s">
        <v>2648</v>
      </c>
      <c r="C55" s="1057" t="s">
        <v>2587</v>
      </c>
      <c r="D55" s="1065" t="s">
        <v>1023</v>
      </c>
      <c r="E55" s="1059" t="s">
        <v>253</v>
      </c>
      <c r="F55" s="1059" t="s">
        <v>244</v>
      </c>
      <c r="G55" s="1052">
        <v>740561</v>
      </c>
      <c r="H55" s="1061">
        <f>G55*5%</f>
        <v>37028.050000000003</v>
      </c>
      <c r="I55" s="1067"/>
      <c r="J55" s="1052">
        <f>+G55*0.2</f>
        <v>148112.20000000001</v>
      </c>
      <c r="K55" s="1052"/>
      <c r="L55" s="1052"/>
      <c r="M55" s="33"/>
      <c r="N55" s="33"/>
      <c r="O55" s="33"/>
      <c r="P55" s="1067"/>
      <c r="Q55" s="1053">
        <f t="shared" si="0"/>
        <v>185140.25</v>
      </c>
      <c r="R55" s="1049"/>
      <c r="S55" s="1049"/>
      <c r="T55" s="1049"/>
      <c r="U55" s="1054">
        <f t="shared" si="1"/>
        <v>98741.466666666674</v>
      </c>
      <c r="V55" s="1055">
        <f t="shared" si="2"/>
        <v>98741.466666666674</v>
      </c>
      <c r="W55" s="1052">
        <v>132000</v>
      </c>
      <c r="X55" s="1052">
        <v>26400</v>
      </c>
      <c r="Y55" s="1055">
        <f t="shared" si="3"/>
        <v>158400</v>
      </c>
      <c r="Z55" s="1056">
        <f t="shared" si="4"/>
        <v>1182842.7166666668</v>
      </c>
      <c r="AA55" s="1056">
        <f t="shared" si="5"/>
        <v>14194112.600000001</v>
      </c>
    </row>
    <row r="56" spans="1:27" ht="27">
      <c r="A56" s="1049">
        <v>50</v>
      </c>
      <c r="B56" s="1057" t="s">
        <v>2649</v>
      </c>
      <c r="C56" s="1057" t="s">
        <v>2613</v>
      </c>
      <c r="D56" s="1065" t="s">
        <v>1023</v>
      </c>
      <c r="E56" s="1059" t="s">
        <v>253</v>
      </c>
      <c r="F56" s="1059" t="s">
        <v>2639</v>
      </c>
      <c r="G56" s="1052">
        <v>656689</v>
      </c>
      <c r="H56" s="1068"/>
      <c r="I56" s="1067"/>
      <c r="J56" s="1052"/>
      <c r="K56" s="1052"/>
      <c r="L56" s="1052"/>
      <c r="M56" s="33"/>
      <c r="N56" s="33"/>
      <c r="O56" s="33"/>
      <c r="P56" s="1067"/>
      <c r="Q56" s="1053">
        <f t="shared" si="0"/>
        <v>0</v>
      </c>
      <c r="R56" s="1049"/>
      <c r="S56" s="1049"/>
      <c r="T56" s="1049"/>
      <c r="U56" s="1054">
        <f t="shared" si="1"/>
        <v>87558.53333333334</v>
      </c>
      <c r="V56" s="1055">
        <f t="shared" si="2"/>
        <v>87558.53333333334</v>
      </c>
      <c r="W56" s="1052">
        <v>132000</v>
      </c>
      <c r="X56" s="1052">
        <v>26400</v>
      </c>
      <c r="Y56" s="1055">
        <f t="shared" si="3"/>
        <v>158400</v>
      </c>
      <c r="Z56" s="1056">
        <f t="shared" si="4"/>
        <v>902647.53333333333</v>
      </c>
      <c r="AA56" s="1056">
        <f t="shared" si="5"/>
        <v>10831770.4</v>
      </c>
    </row>
    <row r="57" spans="1:27" ht="27">
      <c r="A57" s="1049">
        <v>51</v>
      </c>
      <c r="B57" s="1057" t="s">
        <v>2650</v>
      </c>
      <c r="C57" s="1057" t="s">
        <v>2651</v>
      </c>
      <c r="D57" s="1065" t="s">
        <v>1023</v>
      </c>
      <c r="E57" s="1059" t="s">
        <v>253</v>
      </c>
      <c r="F57" s="1059" t="s">
        <v>264</v>
      </c>
      <c r="G57" s="1052">
        <v>651503</v>
      </c>
      <c r="H57" s="1068"/>
      <c r="I57" s="1067"/>
      <c r="J57" s="1052"/>
      <c r="K57" s="1052"/>
      <c r="L57" s="1052"/>
      <c r="M57" s="33"/>
      <c r="N57" s="33"/>
      <c r="O57" s="33"/>
      <c r="P57" s="1067"/>
      <c r="Q57" s="1053">
        <f t="shared" si="0"/>
        <v>0</v>
      </c>
      <c r="R57" s="1049"/>
      <c r="S57" s="1049"/>
      <c r="T57" s="1049"/>
      <c r="U57" s="1054">
        <f t="shared" si="1"/>
        <v>86867.066666666666</v>
      </c>
      <c r="V57" s="1055">
        <f t="shared" si="2"/>
        <v>86867.066666666666</v>
      </c>
      <c r="W57" s="1052">
        <v>132000</v>
      </c>
      <c r="X57" s="1052">
        <v>26400</v>
      </c>
      <c r="Y57" s="1055">
        <f t="shared" si="3"/>
        <v>158400</v>
      </c>
      <c r="Z57" s="1056">
        <f t="shared" si="4"/>
        <v>896770.06666666665</v>
      </c>
      <c r="AA57" s="1056">
        <f t="shared" si="5"/>
        <v>10761240.800000001</v>
      </c>
    </row>
    <row r="58" spans="1:27" ht="27">
      <c r="A58" s="1049">
        <v>52</v>
      </c>
      <c r="B58" s="1057" t="s">
        <v>2652</v>
      </c>
      <c r="C58" s="1057" t="s">
        <v>2653</v>
      </c>
      <c r="D58" s="1065" t="s">
        <v>1023</v>
      </c>
      <c r="E58" s="1059" t="s">
        <v>253</v>
      </c>
      <c r="F58" s="1059" t="s">
        <v>1001</v>
      </c>
      <c r="G58" s="1052">
        <v>669861</v>
      </c>
      <c r="H58" s="1068"/>
      <c r="I58" s="1067"/>
      <c r="J58" s="1052">
        <f>+G58*0.2</f>
        <v>133972.20000000001</v>
      </c>
      <c r="K58" s="1052"/>
      <c r="L58" s="1052"/>
      <c r="M58" s="33"/>
      <c r="N58" s="33"/>
      <c r="O58" s="33"/>
      <c r="P58" s="1067"/>
      <c r="Q58" s="1053">
        <f t="shared" si="0"/>
        <v>133972.20000000001</v>
      </c>
      <c r="R58" s="1049"/>
      <c r="S58" s="1049"/>
      <c r="T58" s="1049"/>
      <c r="U58" s="1054">
        <f t="shared" si="1"/>
        <v>89314.8</v>
      </c>
      <c r="V58" s="1055">
        <f t="shared" si="2"/>
        <v>89314.8</v>
      </c>
      <c r="W58" s="1052">
        <v>132000</v>
      </c>
      <c r="X58" s="1052">
        <v>26400</v>
      </c>
      <c r="Y58" s="1055">
        <f t="shared" si="3"/>
        <v>158400</v>
      </c>
      <c r="Z58" s="1056">
        <f t="shared" si="4"/>
        <v>1051548</v>
      </c>
      <c r="AA58" s="1056">
        <f t="shared" si="5"/>
        <v>12618576</v>
      </c>
    </row>
    <row r="59" spans="1:27" ht="27">
      <c r="A59" s="1049">
        <v>53</v>
      </c>
      <c r="B59" s="1057" t="s">
        <v>2654</v>
      </c>
      <c r="C59" s="1057" t="s">
        <v>2655</v>
      </c>
      <c r="D59" s="1065" t="s">
        <v>1023</v>
      </c>
      <c r="E59" s="1059" t="s">
        <v>253</v>
      </c>
      <c r="F59" s="1059" t="s">
        <v>264</v>
      </c>
      <c r="G59" s="1052">
        <v>651503</v>
      </c>
      <c r="H59" s="1068"/>
      <c r="I59" s="1067"/>
      <c r="J59" s="1052"/>
      <c r="K59" s="1052"/>
      <c r="L59" s="1052"/>
      <c r="M59" s="33"/>
      <c r="N59" s="33"/>
      <c r="O59" s="33"/>
      <c r="P59" s="1067"/>
      <c r="Q59" s="1053">
        <f t="shared" si="0"/>
        <v>0</v>
      </c>
      <c r="R59" s="1049"/>
      <c r="S59" s="1049"/>
      <c r="T59" s="1049"/>
      <c r="U59" s="1054">
        <f t="shared" si="1"/>
        <v>86867.066666666666</v>
      </c>
      <c r="V59" s="1055">
        <f t="shared" si="2"/>
        <v>86867.066666666666</v>
      </c>
      <c r="W59" s="1052">
        <v>132000</v>
      </c>
      <c r="X59" s="1052">
        <v>26400</v>
      </c>
      <c r="Y59" s="1055">
        <f t="shared" si="3"/>
        <v>158400</v>
      </c>
      <c r="Z59" s="1056">
        <f t="shared" si="4"/>
        <v>896770.06666666665</v>
      </c>
      <c r="AA59" s="1056">
        <f t="shared" si="5"/>
        <v>10761240.800000001</v>
      </c>
    </row>
    <row r="60" spans="1:27" ht="27">
      <c r="A60" s="1049">
        <v>54</v>
      </c>
      <c r="B60" s="1064" t="s">
        <v>2656</v>
      </c>
      <c r="C60" s="1064" t="s">
        <v>2657</v>
      </c>
      <c r="D60" s="1065" t="s">
        <v>1032</v>
      </c>
      <c r="E60" s="1059" t="s">
        <v>240</v>
      </c>
      <c r="F60" s="1059" t="s">
        <v>241</v>
      </c>
      <c r="G60" s="1052">
        <v>901079</v>
      </c>
      <c r="H60" s="1061">
        <f>G60*10%</f>
        <v>90107.900000000009</v>
      </c>
      <c r="I60" s="1052"/>
      <c r="J60" s="1052">
        <f t="shared" ref="J60" si="7">+G60*0.2</f>
        <v>180215.80000000002</v>
      </c>
      <c r="K60" s="1052"/>
      <c r="L60" s="1052"/>
      <c r="M60" s="33"/>
      <c r="N60" s="33"/>
      <c r="O60" s="33"/>
      <c r="P60" s="1052"/>
      <c r="Q60" s="1053">
        <f t="shared" si="0"/>
        <v>270323.7</v>
      </c>
      <c r="R60" s="1049"/>
      <c r="S60" s="1049"/>
      <c r="T60" s="1049"/>
      <c r="U60" s="1054">
        <f t="shared" si="1"/>
        <v>120143.86666666668</v>
      </c>
      <c r="V60" s="1055">
        <f t="shared" si="2"/>
        <v>120143.86666666668</v>
      </c>
      <c r="W60" s="1052">
        <v>132000</v>
      </c>
      <c r="X60" s="1052">
        <v>26400</v>
      </c>
      <c r="Y60" s="1055">
        <f t="shared" si="3"/>
        <v>158400</v>
      </c>
      <c r="Z60" s="1056">
        <f t="shared" si="4"/>
        <v>1449946.5666666667</v>
      </c>
      <c r="AA60" s="1056">
        <f t="shared" si="5"/>
        <v>17399358.800000001</v>
      </c>
    </row>
    <row r="61" spans="1:27" ht="27">
      <c r="A61" s="1049">
        <v>55</v>
      </c>
      <c r="B61" s="1064" t="s">
        <v>2658</v>
      </c>
      <c r="C61" s="1064" t="s">
        <v>2659</v>
      </c>
      <c r="D61" s="1065" t="s">
        <v>1032</v>
      </c>
      <c r="E61" s="1059" t="s">
        <v>163</v>
      </c>
      <c r="F61" s="1059" t="s">
        <v>244</v>
      </c>
      <c r="G61" s="1052">
        <v>740561</v>
      </c>
      <c r="H61" s="1061">
        <f>G61*5%</f>
        <v>37028.050000000003</v>
      </c>
      <c r="I61" s="1052"/>
      <c r="J61" s="1052">
        <f>+G61*0.1</f>
        <v>74056.100000000006</v>
      </c>
      <c r="K61" s="1052"/>
      <c r="L61" s="1052"/>
      <c r="M61" s="33"/>
      <c r="N61" s="33"/>
      <c r="O61" s="33"/>
      <c r="P61" s="1052"/>
      <c r="Q61" s="1053">
        <f t="shared" si="0"/>
        <v>111084.15000000001</v>
      </c>
      <c r="R61" s="1049"/>
      <c r="S61" s="1049"/>
      <c r="T61" s="1049"/>
      <c r="U61" s="1054">
        <f t="shared" si="1"/>
        <v>98741.466666666674</v>
      </c>
      <c r="V61" s="1055">
        <f t="shared" si="2"/>
        <v>98741.466666666674</v>
      </c>
      <c r="W61" s="1052">
        <v>132000</v>
      </c>
      <c r="X61" s="1052">
        <v>26400</v>
      </c>
      <c r="Y61" s="1055">
        <f t="shared" si="3"/>
        <v>158400</v>
      </c>
      <c r="Z61" s="1056">
        <f t="shared" si="4"/>
        <v>1108786.6166666667</v>
      </c>
      <c r="AA61" s="1056">
        <f t="shared" si="5"/>
        <v>13305439.4</v>
      </c>
    </row>
    <row r="62" spans="1:27" ht="27">
      <c r="A62" s="1049">
        <v>56</v>
      </c>
      <c r="B62" s="1062" t="s">
        <v>2660</v>
      </c>
      <c r="C62" s="1062" t="s">
        <v>2661</v>
      </c>
      <c r="D62" s="1065" t="s">
        <v>1032</v>
      </c>
      <c r="E62" s="1059" t="s">
        <v>253</v>
      </c>
      <c r="F62" s="1059" t="s">
        <v>1001</v>
      </c>
      <c r="G62" s="1052">
        <v>669861</v>
      </c>
      <c r="H62" s="1061">
        <f>G62*5%</f>
        <v>33493.050000000003</v>
      </c>
      <c r="I62" s="1063"/>
      <c r="J62" s="1063"/>
      <c r="K62" s="1052"/>
      <c r="L62" s="1052"/>
      <c r="M62" s="33"/>
      <c r="N62" s="33"/>
      <c r="O62" s="33"/>
      <c r="P62" s="1063"/>
      <c r="Q62" s="1053">
        <f t="shared" si="0"/>
        <v>33493.050000000003</v>
      </c>
      <c r="R62" s="1049"/>
      <c r="S62" s="1049"/>
      <c r="T62" s="1049"/>
      <c r="U62" s="1054">
        <f t="shared" si="1"/>
        <v>89314.8</v>
      </c>
      <c r="V62" s="1055">
        <f t="shared" si="2"/>
        <v>89314.8</v>
      </c>
      <c r="W62" s="1052">
        <v>132000</v>
      </c>
      <c r="X62" s="1052">
        <v>26400</v>
      </c>
      <c r="Y62" s="1055">
        <f t="shared" si="3"/>
        <v>158400</v>
      </c>
      <c r="Z62" s="1056">
        <f t="shared" si="4"/>
        <v>951068.85</v>
      </c>
      <c r="AA62" s="1056">
        <f t="shared" si="5"/>
        <v>11412826.199999999</v>
      </c>
    </row>
    <row r="63" spans="1:27" ht="27">
      <c r="A63" s="1049">
        <v>57</v>
      </c>
      <c r="B63" s="1064" t="s">
        <v>2662</v>
      </c>
      <c r="C63" s="1064" t="s">
        <v>2663</v>
      </c>
      <c r="D63" s="1065" t="s">
        <v>1032</v>
      </c>
      <c r="E63" s="1059" t="s">
        <v>253</v>
      </c>
      <c r="F63" s="1059" t="s">
        <v>1001</v>
      </c>
      <c r="G63" s="1052">
        <v>669861</v>
      </c>
      <c r="H63" s="1061">
        <f>G63*10%</f>
        <v>66986.100000000006</v>
      </c>
      <c r="I63" s="1052"/>
      <c r="J63" s="1052"/>
      <c r="K63" s="1052"/>
      <c r="L63" s="1052"/>
      <c r="M63" s="33"/>
      <c r="N63" s="33"/>
      <c r="O63" s="33"/>
      <c r="P63" s="1052"/>
      <c r="Q63" s="1053">
        <f t="shared" si="0"/>
        <v>66986.100000000006</v>
      </c>
      <c r="R63" s="1049"/>
      <c r="S63" s="1049"/>
      <c r="T63" s="1049"/>
      <c r="U63" s="1054">
        <f t="shared" si="1"/>
        <v>89314.8</v>
      </c>
      <c r="V63" s="1055">
        <f t="shared" si="2"/>
        <v>89314.8</v>
      </c>
      <c r="W63" s="1052">
        <v>132000</v>
      </c>
      <c r="X63" s="1052">
        <v>26400</v>
      </c>
      <c r="Y63" s="1055">
        <f t="shared" si="3"/>
        <v>158400</v>
      </c>
      <c r="Z63" s="1056">
        <f t="shared" si="4"/>
        <v>984561.9</v>
      </c>
      <c r="AA63" s="1056">
        <f t="shared" si="5"/>
        <v>11814742.800000001</v>
      </c>
    </row>
    <row r="64" spans="1:27" ht="27">
      <c r="A64" s="1049">
        <v>58</v>
      </c>
      <c r="B64" s="1057" t="s">
        <v>2664</v>
      </c>
      <c r="C64" s="1057" t="s">
        <v>2665</v>
      </c>
      <c r="D64" s="1065" t="s">
        <v>1032</v>
      </c>
      <c r="E64" s="1059" t="s">
        <v>163</v>
      </c>
      <c r="F64" s="1060" t="s">
        <v>1006</v>
      </c>
      <c r="G64" s="1052">
        <v>770701</v>
      </c>
      <c r="H64" s="1061">
        <f>G64*20%</f>
        <v>154140.20000000001</v>
      </c>
      <c r="I64" s="1052"/>
      <c r="J64" s="1052">
        <f>+G64*0.4</f>
        <v>308280.40000000002</v>
      </c>
      <c r="K64" s="1052"/>
      <c r="L64" s="1052"/>
      <c r="M64" s="33"/>
      <c r="N64" s="33"/>
      <c r="O64" s="33"/>
      <c r="P64" s="1052"/>
      <c r="Q64" s="1053">
        <f t="shared" si="0"/>
        <v>462420.60000000003</v>
      </c>
      <c r="R64" s="1049"/>
      <c r="S64" s="1049"/>
      <c r="T64" s="1049"/>
      <c r="U64" s="1054">
        <f t="shared" si="1"/>
        <v>102760.13333333335</v>
      </c>
      <c r="V64" s="1055">
        <f t="shared" si="2"/>
        <v>102760.13333333335</v>
      </c>
      <c r="W64" s="1052">
        <v>132000</v>
      </c>
      <c r="X64" s="1052">
        <v>26400</v>
      </c>
      <c r="Y64" s="1055">
        <f t="shared" si="3"/>
        <v>158400</v>
      </c>
      <c r="Z64" s="1056">
        <f t="shared" si="4"/>
        <v>1494281.7333333334</v>
      </c>
      <c r="AA64" s="1056">
        <f t="shared" si="5"/>
        <v>17931380.800000001</v>
      </c>
    </row>
    <row r="65" spans="1:27" ht="27">
      <c r="A65" s="1049">
        <v>59</v>
      </c>
      <c r="B65" s="1057" t="s">
        <v>2666</v>
      </c>
      <c r="C65" s="1057" t="s">
        <v>2667</v>
      </c>
      <c r="D65" s="1065" t="s">
        <v>1032</v>
      </c>
      <c r="E65" s="1059" t="s">
        <v>1021</v>
      </c>
      <c r="F65" s="1060" t="s">
        <v>1006</v>
      </c>
      <c r="G65" s="1052">
        <v>770701</v>
      </c>
      <c r="H65" s="1061">
        <f>G65*20%</f>
        <v>154140.20000000001</v>
      </c>
      <c r="I65" s="1070"/>
      <c r="J65" s="1071">
        <f>+G65*0.2</f>
        <v>154140.20000000001</v>
      </c>
      <c r="K65" s="1052">
        <f>+G65*0.15</f>
        <v>115605.15</v>
      </c>
      <c r="L65" s="1052"/>
      <c r="M65" s="33"/>
      <c r="N65" s="33"/>
      <c r="O65" s="33"/>
      <c r="P65" s="1070"/>
      <c r="Q65" s="1053">
        <f t="shared" si="0"/>
        <v>423885.55000000005</v>
      </c>
      <c r="R65" s="1049"/>
      <c r="S65" s="1049"/>
      <c r="T65" s="1049"/>
      <c r="U65" s="1054">
        <f t="shared" si="1"/>
        <v>102760.13333333335</v>
      </c>
      <c r="V65" s="1055">
        <f t="shared" si="2"/>
        <v>102760.13333333335</v>
      </c>
      <c r="W65" s="1052">
        <v>132000</v>
      </c>
      <c r="X65" s="1052">
        <v>26400</v>
      </c>
      <c r="Y65" s="1055">
        <f t="shared" si="3"/>
        <v>158400</v>
      </c>
      <c r="Z65" s="1056">
        <f t="shared" si="4"/>
        <v>1455746.6833333333</v>
      </c>
      <c r="AA65" s="1056">
        <f t="shared" si="5"/>
        <v>17468960.199999999</v>
      </c>
    </row>
    <row r="66" spans="1:27" ht="27">
      <c r="A66" s="1049">
        <v>60</v>
      </c>
      <c r="B66" s="1057" t="s">
        <v>2668</v>
      </c>
      <c r="C66" s="1057" t="s">
        <v>2669</v>
      </c>
      <c r="D66" s="1065" t="s">
        <v>1032</v>
      </c>
      <c r="E66" s="1059" t="s">
        <v>163</v>
      </c>
      <c r="F66" s="1059" t="s">
        <v>244</v>
      </c>
      <c r="G66" s="1052">
        <v>740561</v>
      </c>
      <c r="H66" s="1061">
        <f>G66*15%</f>
        <v>111084.15</v>
      </c>
      <c r="I66" s="1070"/>
      <c r="J66" s="1071">
        <f>+G66*0.2</f>
        <v>148112.20000000001</v>
      </c>
      <c r="K66" s="1052"/>
      <c r="L66" s="1052"/>
      <c r="M66" s="33"/>
      <c r="N66" s="33"/>
      <c r="O66" s="33"/>
      <c r="P66" s="1070"/>
      <c r="Q66" s="1053">
        <f t="shared" si="0"/>
        <v>259196.35</v>
      </c>
      <c r="R66" s="1049"/>
      <c r="S66" s="1049"/>
      <c r="T66" s="1049"/>
      <c r="U66" s="1054">
        <f t="shared" si="1"/>
        <v>98741.466666666674</v>
      </c>
      <c r="V66" s="1055">
        <f t="shared" si="2"/>
        <v>98741.466666666674</v>
      </c>
      <c r="W66" s="1052">
        <v>132000</v>
      </c>
      <c r="X66" s="1052">
        <v>26400</v>
      </c>
      <c r="Y66" s="1055">
        <f t="shared" si="3"/>
        <v>158400</v>
      </c>
      <c r="Z66" s="1056">
        <f t="shared" si="4"/>
        <v>1256898.8166666667</v>
      </c>
      <c r="AA66" s="1056">
        <f t="shared" si="5"/>
        <v>15082785.800000001</v>
      </c>
    </row>
    <row r="67" spans="1:27" ht="27">
      <c r="A67" s="1049">
        <v>61</v>
      </c>
      <c r="B67" s="1057" t="s">
        <v>2670</v>
      </c>
      <c r="C67" s="1057" t="s">
        <v>2671</v>
      </c>
      <c r="D67" s="1065" t="s">
        <v>1032</v>
      </c>
      <c r="E67" s="1059" t="s">
        <v>163</v>
      </c>
      <c r="F67" s="1060" t="s">
        <v>1001</v>
      </c>
      <c r="G67" s="1052">
        <v>669861</v>
      </c>
      <c r="H67" s="1061"/>
      <c r="I67" s="1067"/>
      <c r="J67" s="1072"/>
      <c r="K67" s="1052"/>
      <c r="L67" s="1052"/>
      <c r="M67" s="33"/>
      <c r="N67" s="33"/>
      <c r="O67" s="33"/>
      <c r="P67" s="1067"/>
      <c r="Q67" s="1053">
        <f t="shared" si="0"/>
        <v>0</v>
      </c>
      <c r="R67" s="1049"/>
      <c r="S67" s="1049"/>
      <c r="T67" s="1049"/>
      <c r="U67" s="1054">
        <f t="shared" si="1"/>
        <v>89314.8</v>
      </c>
      <c r="V67" s="1055">
        <f t="shared" si="2"/>
        <v>89314.8</v>
      </c>
      <c r="W67" s="1052">
        <v>132000</v>
      </c>
      <c r="X67" s="1052">
        <v>26400</v>
      </c>
      <c r="Y67" s="1055">
        <f t="shared" si="3"/>
        <v>158400</v>
      </c>
      <c r="Z67" s="1056">
        <f t="shared" si="4"/>
        <v>917575.8</v>
      </c>
      <c r="AA67" s="1056">
        <f t="shared" si="5"/>
        <v>11010909.600000001</v>
      </c>
    </row>
    <row r="68" spans="1:27" ht="40.5">
      <c r="A68" s="1049">
        <v>62</v>
      </c>
      <c r="B68" s="1064" t="s">
        <v>2672</v>
      </c>
      <c r="C68" s="1064" t="s">
        <v>2673</v>
      </c>
      <c r="D68" s="1065" t="s">
        <v>2674</v>
      </c>
      <c r="E68" s="1059" t="s">
        <v>240</v>
      </c>
      <c r="F68" s="1059" t="s">
        <v>241</v>
      </c>
      <c r="G68" s="1052">
        <v>901079</v>
      </c>
      <c r="H68" s="1061">
        <f>G68*20%</f>
        <v>180215.80000000002</v>
      </c>
      <c r="I68" s="1052"/>
      <c r="J68" s="1071">
        <f>+G68*0.25</f>
        <v>225269.75</v>
      </c>
      <c r="K68" s="1052"/>
      <c r="L68" s="1052"/>
      <c r="M68" s="33"/>
      <c r="N68" s="33"/>
      <c r="O68" s="33"/>
      <c r="P68" s="1052"/>
      <c r="Q68" s="1053">
        <f t="shared" si="0"/>
        <v>405485.55000000005</v>
      </c>
      <c r="R68" s="1049"/>
      <c r="S68" s="1049"/>
      <c r="T68" s="1049"/>
      <c r="U68" s="1054">
        <f t="shared" si="1"/>
        <v>120143.86666666668</v>
      </c>
      <c r="V68" s="1055">
        <f t="shared" si="2"/>
        <v>120143.86666666668</v>
      </c>
      <c r="W68" s="1052">
        <v>132000</v>
      </c>
      <c r="X68" s="1052">
        <v>26400</v>
      </c>
      <c r="Y68" s="1055">
        <f t="shared" si="3"/>
        <v>158400</v>
      </c>
      <c r="Z68" s="1056">
        <f t="shared" si="4"/>
        <v>1585108.4166666667</v>
      </c>
      <c r="AA68" s="1056">
        <f t="shared" si="5"/>
        <v>19021301</v>
      </c>
    </row>
    <row r="69" spans="1:27" ht="40.5">
      <c r="A69" s="1049">
        <v>63</v>
      </c>
      <c r="B69" s="1057" t="s">
        <v>2675</v>
      </c>
      <c r="C69" s="1057" t="s">
        <v>258</v>
      </c>
      <c r="D69" s="1065" t="s">
        <v>2674</v>
      </c>
      <c r="E69" s="1059" t="s">
        <v>1021</v>
      </c>
      <c r="F69" s="1059" t="s">
        <v>2601</v>
      </c>
      <c r="G69" s="1052">
        <v>770701</v>
      </c>
      <c r="H69" s="1061">
        <f>G69*5%</f>
        <v>38535.050000000003</v>
      </c>
      <c r="I69" s="1052"/>
      <c r="J69" s="1052">
        <f>+G69*0.4</f>
        <v>308280.40000000002</v>
      </c>
      <c r="K69" s="1052">
        <f>+G69*0.1</f>
        <v>77070.100000000006</v>
      </c>
      <c r="L69" s="1052"/>
      <c r="M69" s="33"/>
      <c r="N69" s="33"/>
      <c r="O69" s="33"/>
      <c r="P69" s="1052"/>
      <c r="Q69" s="1053">
        <f t="shared" si="0"/>
        <v>423885.55000000005</v>
      </c>
      <c r="R69" s="1049"/>
      <c r="S69" s="1049"/>
      <c r="T69" s="1049"/>
      <c r="U69" s="1054">
        <f t="shared" si="1"/>
        <v>102760.13333333335</v>
      </c>
      <c r="V69" s="1055">
        <f t="shared" si="2"/>
        <v>102760.13333333335</v>
      </c>
      <c r="W69" s="1052">
        <v>132000</v>
      </c>
      <c r="X69" s="1052">
        <v>26400</v>
      </c>
      <c r="Y69" s="1055">
        <f t="shared" si="3"/>
        <v>158400</v>
      </c>
      <c r="Z69" s="1056">
        <f t="shared" si="4"/>
        <v>1455746.6833333333</v>
      </c>
      <c r="AA69" s="1056">
        <f t="shared" si="5"/>
        <v>17468960.199999999</v>
      </c>
    </row>
    <row r="70" spans="1:27" ht="40.5">
      <c r="A70" s="1049">
        <v>64</v>
      </c>
      <c r="B70" s="1057" t="s">
        <v>2676</v>
      </c>
      <c r="C70" s="1057" t="s">
        <v>2677</v>
      </c>
      <c r="D70" s="1065" t="s">
        <v>2674</v>
      </c>
      <c r="E70" s="1059" t="s">
        <v>1039</v>
      </c>
      <c r="F70" s="1059" t="s">
        <v>262</v>
      </c>
      <c r="G70" s="1052">
        <v>651503</v>
      </c>
      <c r="H70" s="1061"/>
      <c r="I70" s="1052"/>
      <c r="J70" s="1052"/>
      <c r="K70" s="1052"/>
      <c r="L70" s="1052"/>
      <c r="M70" s="33"/>
      <c r="N70" s="33"/>
      <c r="O70" s="33"/>
      <c r="P70" s="1052"/>
      <c r="Q70" s="1053">
        <f t="shared" si="0"/>
        <v>0</v>
      </c>
      <c r="R70" s="1049"/>
      <c r="S70" s="1049"/>
      <c r="T70" s="1049"/>
      <c r="U70" s="1054">
        <f t="shared" si="1"/>
        <v>86867.066666666666</v>
      </c>
      <c r="V70" s="1055">
        <f t="shared" si="2"/>
        <v>86867.066666666666</v>
      </c>
      <c r="W70" s="1052">
        <v>132000</v>
      </c>
      <c r="X70" s="1052">
        <v>26400</v>
      </c>
      <c r="Y70" s="1055">
        <f t="shared" si="3"/>
        <v>158400</v>
      </c>
      <c r="Z70" s="1056">
        <f t="shared" si="4"/>
        <v>896770.06666666665</v>
      </c>
      <c r="AA70" s="1056">
        <f t="shared" si="5"/>
        <v>10761240.800000001</v>
      </c>
    </row>
    <row r="71" spans="1:27" ht="40.5">
      <c r="A71" s="1049">
        <v>65</v>
      </c>
      <c r="B71" s="1057" t="s">
        <v>2678</v>
      </c>
      <c r="C71" s="1057" t="s">
        <v>2679</v>
      </c>
      <c r="D71" s="1065" t="s">
        <v>2674</v>
      </c>
      <c r="E71" s="1059" t="s">
        <v>245</v>
      </c>
      <c r="F71" s="1059" t="s">
        <v>244</v>
      </c>
      <c r="G71" s="1052">
        <v>740561</v>
      </c>
      <c r="H71" s="1061">
        <f>G71*10%</f>
        <v>74056.100000000006</v>
      </c>
      <c r="I71" s="1052"/>
      <c r="J71" s="1052"/>
      <c r="K71" s="1052"/>
      <c r="L71" s="1052"/>
      <c r="M71" s="33"/>
      <c r="N71" s="33"/>
      <c r="O71" s="33"/>
      <c r="P71" s="1052"/>
      <c r="Q71" s="1053">
        <f t="shared" si="0"/>
        <v>74056.100000000006</v>
      </c>
      <c r="R71" s="1049"/>
      <c r="S71" s="1049"/>
      <c r="T71" s="1049"/>
      <c r="U71" s="1054">
        <f t="shared" si="1"/>
        <v>98741.466666666674</v>
      </c>
      <c r="V71" s="1055">
        <f t="shared" si="2"/>
        <v>98741.466666666674</v>
      </c>
      <c r="W71" s="1052">
        <v>132000</v>
      </c>
      <c r="X71" s="1052">
        <v>26400</v>
      </c>
      <c r="Y71" s="1055">
        <f t="shared" si="3"/>
        <v>158400</v>
      </c>
      <c r="Z71" s="1056">
        <f t="shared" si="4"/>
        <v>1071758.5666666667</v>
      </c>
      <c r="AA71" s="1056">
        <f t="shared" si="5"/>
        <v>12861102.800000001</v>
      </c>
    </row>
    <row r="72" spans="1:27" ht="40.5">
      <c r="A72" s="1049">
        <v>66</v>
      </c>
      <c r="B72" s="1057" t="s">
        <v>2680</v>
      </c>
      <c r="C72" s="1057" t="s">
        <v>2681</v>
      </c>
      <c r="D72" s="1065" t="s">
        <v>2674</v>
      </c>
      <c r="E72" s="1059" t="s">
        <v>245</v>
      </c>
      <c r="F72" s="1059" t="s">
        <v>244</v>
      </c>
      <c r="G72" s="1052">
        <v>740561</v>
      </c>
      <c r="H72" s="1061">
        <f>G72*10%</f>
        <v>74056.100000000006</v>
      </c>
      <c r="I72" s="1052"/>
      <c r="J72" s="1052"/>
      <c r="K72" s="1052"/>
      <c r="L72" s="1052"/>
      <c r="M72" s="33"/>
      <c r="N72" s="33"/>
      <c r="O72" s="33"/>
      <c r="P72" s="1052"/>
      <c r="Q72" s="1053">
        <f t="shared" ref="Q72:Q90" si="8">SUM(H72:P72)</f>
        <v>74056.100000000006</v>
      </c>
      <c r="R72" s="1049"/>
      <c r="S72" s="1049"/>
      <c r="T72" s="1049"/>
      <c r="U72" s="1054">
        <f t="shared" si="1"/>
        <v>98741.466666666674</v>
      </c>
      <c r="V72" s="1055">
        <f t="shared" si="2"/>
        <v>98741.466666666674</v>
      </c>
      <c r="W72" s="1052">
        <v>132000</v>
      </c>
      <c r="X72" s="1052">
        <v>26400</v>
      </c>
      <c r="Y72" s="1055">
        <f t="shared" ref="Y72:Y90" si="9">+W72+X72</f>
        <v>158400</v>
      </c>
      <c r="Z72" s="1056">
        <f t="shared" si="4"/>
        <v>1071758.5666666667</v>
      </c>
      <c r="AA72" s="1056">
        <f t="shared" si="5"/>
        <v>12861102.800000001</v>
      </c>
    </row>
    <row r="73" spans="1:27" ht="27">
      <c r="A73" s="1049">
        <v>67</v>
      </c>
      <c r="B73" s="1064" t="s">
        <v>2682</v>
      </c>
      <c r="C73" s="1064" t="s">
        <v>2683</v>
      </c>
      <c r="D73" s="1065" t="s">
        <v>1053</v>
      </c>
      <c r="E73" s="1059" t="s">
        <v>240</v>
      </c>
      <c r="F73" s="1059" t="s">
        <v>241</v>
      </c>
      <c r="G73" s="1052">
        <v>901079</v>
      </c>
      <c r="H73" s="1061">
        <f>G73*5%</f>
        <v>45053.950000000004</v>
      </c>
      <c r="I73" s="1052"/>
      <c r="J73" s="1052">
        <f>+G73*0.4</f>
        <v>360431.60000000003</v>
      </c>
      <c r="K73" s="1052">
        <f>G73*0.1</f>
        <v>90107.900000000009</v>
      </c>
      <c r="L73" s="1052"/>
      <c r="M73" s="33"/>
      <c r="N73" s="33"/>
      <c r="O73" s="33"/>
      <c r="P73" s="1052"/>
      <c r="Q73" s="1053">
        <f t="shared" si="8"/>
        <v>495593.45000000007</v>
      </c>
      <c r="R73" s="1049"/>
      <c r="S73" s="1049"/>
      <c r="T73" s="1049"/>
      <c r="U73" s="1054">
        <f t="shared" ref="U73:U90" si="10">(G73*40%)/3</f>
        <v>120143.86666666668</v>
      </c>
      <c r="V73" s="1055">
        <f t="shared" ref="V73:V90" si="11">SUM(R73:U73)</f>
        <v>120143.86666666668</v>
      </c>
      <c r="W73" s="1052">
        <v>132000</v>
      </c>
      <c r="X73" s="1052">
        <v>26400</v>
      </c>
      <c r="Y73" s="1055">
        <f t="shared" si="9"/>
        <v>158400</v>
      </c>
      <c r="Z73" s="1056">
        <f t="shared" ref="Z73:Z90" si="12">+Q73+Y73+V73+G73</f>
        <v>1675216.3166666669</v>
      </c>
      <c r="AA73" s="1056">
        <f t="shared" ref="AA73:AA90" si="13">+Z73*12</f>
        <v>20102595.800000004</v>
      </c>
    </row>
    <row r="74" spans="1:27" ht="27">
      <c r="A74" s="1049">
        <v>68</v>
      </c>
      <c r="B74" s="1062" t="s">
        <v>2684</v>
      </c>
      <c r="C74" s="1062" t="s">
        <v>2685</v>
      </c>
      <c r="D74" s="1065" t="s">
        <v>1053</v>
      </c>
      <c r="E74" s="1059" t="s">
        <v>1021</v>
      </c>
      <c r="F74" s="1060" t="s">
        <v>1006</v>
      </c>
      <c r="G74" s="1052">
        <v>770701</v>
      </c>
      <c r="H74" s="1061">
        <f>G74*20%</f>
        <v>154140.20000000001</v>
      </c>
      <c r="I74" s="1052"/>
      <c r="J74" s="1052">
        <f>+G74*0.4</f>
        <v>308280.40000000002</v>
      </c>
      <c r="K74" s="1052">
        <f>+G74*0.1</f>
        <v>77070.100000000006</v>
      </c>
      <c r="L74" s="1052"/>
      <c r="M74" s="33"/>
      <c r="N74" s="33"/>
      <c r="O74" s="33"/>
      <c r="P74" s="1052"/>
      <c r="Q74" s="1053">
        <f t="shared" si="8"/>
        <v>539490.70000000007</v>
      </c>
      <c r="R74" s="1049"/>
      <c r="S74" s="1049"/>
      <c r="T74" s="1049"/>
      <c r="U74" s="1054">
        <f t="shared" si="10"/>
        <v>102760.13333333335</v>
      </c>
      <c r="V74" s="1055">
        <f t="shared" si="11"/>
        <v>102760.13333333335</v>
      </c>
      <c r="W74" s="1052">
        <v>132000</v>
      </c>
      <c r="X74" s="1052">
        <v>26400</v>
      </c>
      <c r="Y74" s="1055">
        <f t="shared" si="9"/>
        <v>158400</v>
      </c>
      <c r="Z74" s="1056">
        <f t="shared" si="12"/>
        <v>1571351.8333333335</v>
      </c>
      <c r="AA74" s="1056">
        <f t="shared" si="13"/>
        <v>18856222</v>
      </c>
    </row>
    <row r="75" spans="1:27" ht="27">
      <c r="A75" s="1049">
        <v>69</v>
      </c>
      <c r="B75" s="1062" t="s">
        <v>2686</v>
      </c>
      <c r="C75" s="1062" t="s">
        <v>2687</v>
      </c>
      <c r="D75" s="1065" t="s">
        <v>1053</v>
      </c>
      <c r="E75" s="1059" t="s">
        <v>1021</v>
      </c>
      <c r="F75" s="1059" t="s">
        <v>1006</v>
      </c>
      <c r="G75" s="1052">
        <v>770701</v>
      </c>
      <c r="H75" s="1061">
        <f>G75*20%</f>
        <v>154140.20000000001</v>
      </c>
      <c r="I75" s="1052"/>
      <c r="J75" s="1052">
        <f>+G75*0.3</f>
        <v>231210.3</v>
      </c>
      <c r="K75" s="1052">
        <f>+G75*0.1</f>
        <v>77070.100000000006</v>
      </c>
      <c r="L75" s="33"/>
      <c r="M75" s="33"/>
      <c r="N75" s="33"/>
      <c r="O75" s="1052">
        <v>154140</v>
      </c>
      <c r="P75" s="1052"/>
      <c r="Q75" s="1053">
        <f t="shared" si="8"/>
        <v>616560.6</v>
      </c>
      <c r="R75" s="1049"/>
      <c r="S75" s="1049"/>
      <c r="T75" s="1049"/>
      <c r="U75" s="1054">
        <f t="shared" si="10"/>
        <v>102760.13333333335</v>
      </c>
      <c r="V75" s="1055">
        <f t="shared" si="11"/>
        <v>102760.13333333335</v>
      </c>
      <c r="W75" s="1052">
        <v>132000</v>
      </c>
      <c r="X75" s="1052">
        <v>26400</v>
      </c>
      <c r="Y75" s="1055">
        <f t="shared" si="9"/>
        <v>158400</v>
      </c>
      <c r="Z75" s="1056">
        <f t="shared" si="12"/>
        <v>1648421.7333333334</v>
      </c>
      <c r="AA75" s="1056">
        <f t="shared" si="13"/>
        <v>19781060.800000001</v>
      </c>
    </row>
    <row r="76" spans="1:27" ht="27">
      <c r="A76" s="1049">
        <v>70</v>
      </c>
      <c r="B76" s="1062" t="s">
        <v>2580</v>
      </c>
      <c r="C76" s="1062" t="s">
        <v>2688</v>
      </c>
      <c r="D76" s="1065" t="s">
        <v>1053</v>
      </c>
      <c r="E76" s="1059" t="s">
        <v>1044</v>
      </c>
      <c r="F76" s="1059" t="s">
        <v>1006</v>
      </c>
      <c r="G76" s="1052">
        <v>770701</v>
      </c>
      <c r="H76" s="1061">
        <f>G76*15%</f>
        <v>115605.15</v>
      </c>
      <c r="I76" s="1052"/>
      <c r="J76" s="1052">
        <f>+G76*0.4</f>
        <v>308280.40000000002</v>
      </c>
      <c r="K76" s="1052"/>
      <c r="L76" s="1052"/>
      <c r="M76" s="33"/>
      <c r="N76" s="33"/>
      <c r="O76" s="33"/>
      <c r="P76" s="1052"/>
      <c r="Q76" s="1053">
        <f t="shared" si="8"/>
        <v>423885.55000000005</v>
      </c>
      <c r="R76" s="1049"/>
      <c r="S76" s="1049"/>
      <c r="T76" s="1049"/>
      <c r="U76" s="1054">
        <f t="shared" si="10"/>
        <v>102760.13333333335</v>
      </c>
      <c r="V76" s="1055">
        <f t="shared" si="11"/>
        <v>102760.13333333335</v>
      </c>
      <c r="W76" s="1052">
        <v>132000</v>
      </c>
      <c r="X76" s="1052">
        <v>26400</v>
      </c>
      <c r="Y76" s="1055">
        <f t="shared" si="9"/>
        <v>158400</v>
      </c>
      <c r="Z76" s="1056">
        <f t="shared" si="12"/>
        <v>1455746.6833333333</v>
      </c>
      <c r="AA76" s="1056">
        <f t="shared" si="13"/>
        <v>17468960.199999999</v>
      </c>
    </row>
    <row r="77" spans="1:27" ht="27">
      <c r="A77" s="1049">
        <v>71</v>
      </c>
      <c r="B77" s="1057" t="s">
        <v>2676</v>
      </c>
      <c r="C77" s="1057" t="s">
        <v>2689</v>
      </c>
      <c r="D77" s="1065" t="s">
        <v>1053</v>
      </c>
      <c r="E77" s="1059" t="s">
        <v>253</v>
      </c>
      <c r="F77" s="1059" t="s">
        <v>254</v>
      </c>
      <c r="G77" s="1052">
        <v>740561</v>
      </c>
      <c r="H77" s="1061">
        <f>G77*15%</f>
        <v>111084.15</v>
      </c>
      <c r="I77" s="1073"/>
      <c r="J77" s="1052">
        <f>+G77*20%</f>
        <v>148112.20000000001</v>
      </c>
      <c r="K77" s="1052"/>
      <c r="L77" s="1052"/>
      <c r="M77" s="33"/>
      <c r="N77" s="33"/>
      <c r="O77" s="33"/>
      <c r="P77" s="1052"/>
      <c r="Q77" s="1053">
        <f t="shared" si="8"/>
        <v>259196.35</v>
      </c>
      <c r="R77" s="1049"/>
      <c r="S77" s="1049"/>
      <c r="T77" s="1049"/>
      <c r="U77" s="1054">
        <f t="shared" si="10"/>
        <v>98741.466666666674</v>
      </c>
      <c r="V77" s="1055">
        <f t="shared" si="11"/>
        <v>98741.466666666674</v>
      </c>
      <c r="W77" s="1052">
        <v>132000</v>
      </c>
      <c r="X77" s="1052">
        <v>26400</v>
      </c>
      <c r="Y77" s="1055">
        <f t="shared" si="9"/>
        <v>158400</v>
      </c>
      <c r="Z77" s="1056">
        <f t="shared" si="12"/>
        <v>1256898.8166666667</v>
      </c>
      <c r="AA77" s="1056">
        <f t="shared" si="13"/>
        <v>15082785.800000001</v>
      </c>
    </row>
    <row r="78" spans="1:27" ht="27">
      <c r="A78" s="1049">
        <v>72</v>
      </c>
      <c r="B78" s="1062" t="s">
        <v>2690</v>
      </c>
      <c r="C78" s="1062" t="s">
        <v>2691</v>
      </c>
      <c r="D78" s="1065" t="s">
        <v>1053</v>
      </c>
      <c r="E78" s="1074" t="s">
        <v>243</v>
      </c>
      <c r="F78" s="1074" t="s">
        <v>244</v>
      </c>
      <c r="G78" s="1052">
        <v>740561</v>
      </c>
      <c r="H78" s="1061">
        <f>G78*5%</f>
        <v>37028.050000000003</v>
      </c>
      <c r="I78" s="1052"/>
      <c r="J78" s="1052">
        <f>+G78*0.4</f>
        <v>296224.40000000002</v>
      </c>
      <c r="K78" s="1052">
        <f>+G78*0.15</f>
        <v>111084.15</v>
      </c>
      <c r="L78" s="1052"/>
      <c r="M78" s="33"/>
      <c r="N78" s="33"/>
      <c r="O78" s="33"/>
      <c r="P78" s="1052">
        <v>111084</v>
      </c>
      <c r="Q78" s="1053">
        <f t="shared" si="8"/>
        <v>555420.6</v>
      </c>
      <c r="R78" s="1049"/>
      <c r="S78" s="1049"/>
      <c r="T78" s="1049"/>
      <c r="U78" s="1054">
        <f t="shared" si="10"/>
        <v>98741.466666666674</v>
      </c>
      <c r="V78" s="1055">
        <f t="shared" si="11"/>
        <v>98741.466666666674</v>
      </c>
      <c r="W78" s="1052">
        <v>132000</v>
      </c>
      <c r="X78" s="1052">
        <v>26400</v>
      </c>
      <c r="Y78" s="1055">
        <f t="shared" si="9"/>
        <v>158400</v>
      </c>
      <c r="Z78" s="1056">
        <f t="shared" si="12"/>
        <v>1553123.0666666667</v>
      </c>
      <c r="AA78" s="1056">
        <f t="shared" si="13"/>
        <v>18637476.800000001</v>
      </c>
    </row>
    <row r="79" spans="1:27" ht="27">
      <c r="A79" s="1049">
        <v>73</v>
      </c>
      <c r="B79" s="1064" t="s">
        <v>2692</v>
      </c>
      <c r="C79" s="1064" t="s">
        <v>2578</v>
      </c>
      <c r="D79" s="1065" t="s">
        <v>1053</v>
      </c>
      <c r="E79" s="1059" t="s">
        <v>248</v>
      </c>
      <c r="F79" s="1059" t="s">
        <v>1001</v>
      </c>
      <c r="G79" s="1052">
        <v>669861</v>
      </c>
      <c r="H79" s="1061">
        <f>G79*25%</f>
        <v>167465.25</v>
      </c>
      <c r="I79" s="1052"/>
      <c r="J79" s="1052">
        <f>+G79*0.4</f>
        <v>267944.40000000002</v>
      </c>
      <c r="K79" s="1052">
        <f>+G79*0.15</f>
        <v>100479.15</v>
      </c>
      <c r="L79" s="1052"/>
      <c r="M79" s="33"/>
      <c r="N79" s="33"/>
      <c r="O79" s="33"/>
      <c r="P79" s="1052"/>
      <c r="Q79" s="1053">
        <f t="shared" si="8"/>
        <v>535888.80000000005</v>
      </c>
      <c r="R79" s="1049"/>
      <c r="S79" s="1049"/>
      <c r="T79" s="1049"/>
      <c r="U79" s="1054">
        <f t="shared" si="10"/>
        <v>89314.8</v>
      </c>
      <c r="V79" s="1055">
        <f t="shared" si="11"/>
        <v>89314.8</v>
      </c>
      <c r="W79" s="1052">
        <v>132000</v>
      </c>
      <c r="X79" s="1052">
        <v>26400</v>
      </c>
      <c r="Y79" s="1055">
        <f t="shared" si="9"/>
        <v>158400</v>
      </c>
      <c r="Z79" s="1056">
        <f t="shared" si="12"/>
        <v>1453464.6</v>
      </c>
      <c r="AA79" s="1056">
        <f t="shared" si="13"/>
        <v>17441575.200000003</v>
      </c>
    </row>
    <row r="80" spans="1:27" ht="27">
      <c r="A80" s="1049">
        <v>74</v>
      </c>
      <c r="B80" s="1062" t="s">
        <v>2580</v>
      </c>
      <c r="C80" s="1062" t="s">
        <v>2693</v>
      </c>
      <c r="D80" s="1065" t="s">
        <v>1053</v>
      </c>
      <c r="E80" s="1059" t="s">
        <v>1048</v>
      </c>
      <c r="F80" s="1059" t="s">
        <v>249</v>
      </c>
      <c r="G80" s="1052">
        <v>614276</v>
      </c>
      <c r="H80" s="1052"/>
      <c r="I80" s="1052"/>
      <c r="J80" s="1052"/>
      <c r="K80" s="1052"/>
      <c r="L80" s="1052"/>
      <c r="M80" s="33"/>
      <c r="N80" s="33"/>
      <c r="O80" s="33"/>
      <c r="P80" s="1052"/>
      <c r="Q80" s="1053">
        <f t="shared" si="8"/>
        <v>0</v>
      </c>
      <c r="R80" s="1049"/>
      <c r="S80" s="1049"/>
      <c r="T80" s="1049"/>
      <c r="U80" s="1054">
        <f t="shared" si="10"/>
        <v>81903.466666666674</v>
      </c>
      <c r="V80" s="1055">
        <f t="shared" si="11"/>
        <v>81903.466666666674</v>
      </c>
      <c r="W80" s="1052">
        <v>132000</v>
      </c>
      <c r="X80" s="1052">
        <v>26400</v>
      </c>
      <c r="Y80" s="1055">
        <f t="shared" si="9"/>
        <v>158400</v>
      </c>
      <c r="Z80" s="1056">
        <f t="shared" si="12"/>
        <v>854579.46666666667</v>
      </c>
      <c r="AA80" s="1056">
        <f t="shared" si="13"/>
        <v>10254953.6</v>
      </c>
    </row>
    <row r="81" spans="1:27" ht="27">
      <c r="A81" s="1049">
        <v>75</v>
      </c>
      <c r="B81" s="1062" t="s">
        <v>2694</v>
      </c>
      <c r="C81" s="1062" t="s">
        <v>2679</v>
      </c>
      <c r="D81" s="1065" t="s">
        <v>1053</v>
      </c>
      <c r="E81" s="1059" t="s">
        <v>2695</v>
      </c>
      <c r="F81" s="1059" t="s">
        <v>244</v>
      </c>
      <c r="G81" s="1052">
        <v>740561</v>
      </c>
      <c r="H81" s="1061">
        <f>G81*15%</f>
        <v>111084.15</v>
      </c>
      <c r="I81" s="1052"/>
      <c r="J81" s="1052">
        <f>+G81*0.3</f>
        <v>222168.3</v>
      </c>
      <c r="K81" s="1052"/>
      <c r="L81" s="1052"/>
      <c r="M81" s="33"/>
      <c r="N81" s="33"/>
      <c r="O81" s="33"/>
      <c r="P81" s="1052"/>
      <c r="Q81" s="1053">
        <f t="shared" si="8"/>
        <v>333252.44999999995</v>
      </c>
      <c r="R81" s="1049"/>
      <c r="S81" s="1049"/>
      <c r="T81" s="1049"/>
      <c r="U81" s="1054">
        <f t="shared" si="10"/>
        <v>98741.466666666674</v>
      </c>
      <c r="V81" s="1055">
        <f t="shared" si="11"/>
        <v>98741.466666666674</v>
      </c>
      <c r="W81" s="1052">
        <v>132000</v>
      </c>
      <c r="X81" s="1052">
        <v>26400</v>
      </c>
      <c r="Y81" s="1055">
        <f t="shared" si="9"/>
        <v>158400</v>
      </c>
      <c r="Z81" s="1056">
        <f t="shared" si="12"/>
        <v>1330954.9166666665</v>
      </c>
      <c r="AA81" s="1056">
        <f t="shared" si="13"/>
        <v>15971458.999999998</v>
      </c>
    </row>
    <row r="82" spans="1:27" ht="27">
      <c r="A82" s="1049">
        <v>76</v>
      </c>
      <c r="B82" s="1062" t="s">
        <v>2696</v>
      </c>
      <c r="C82" s="1062" t="s">
        <v>2697</v>
      </c>
      <c r="D82" s="1065" t="s">
        <v>1053</v>
      </c>
      <c r="E82" s="1074" t="s">
        <v>243</v>
      </c>
      <c r="F82" s="1074" t="s">
        <v>244</v>
      </c>
      <c r="G82" s="1052">
        <v>740561</v>
      </c>
      <c r="H82" s="1061">
        <f>G82*10%</f>
        <v>74056.100000000006</v>
      </c>
      <c r="I82" s="1052"/>
      <c r="J82" s="1052">
        <f>+G82*0.25</f>
        <v>185140.25</v>
      </c>
      <c r="K82" s="1052"/>
      <c r="L82" s="1052"/>
      <c r="M82" s="33"/>
      <c r="N82" s="33"/>
      <c r="O82" s="33"/>
      <c r="P82" s="1052"/>
      <c r="Q82" s="1053">
        <f t="shared" si="8"/>
        <v>259196.35</v>
      </c>
      <c r="R82" s="1049"/>
      <c r="S82" s="1049"/>
      <c r="T82" s="1049"/>
      <c r="U82" s="1054">
        <f t="shared" si="10"/>
        <v>98741.466666666674</v>
      </c>
      <c r="V82" s="1055">
        <f t="shared" si="11"/>
        <v>98741.466666666674</v>
      </c>
      <c r="W82" s="1052">
        <v>132000</v>
      </c>
      <c r="X82" s="1052">
        <v>26400</v>
      </c>
      <c r="Y82" s="1055">
        <f t="shared" si="9"/>
        <v>158400</v>
      </c>
      <c r="Z82" s="1056">
        <f t="shared" si="12"/>
        <v>1256898.8166666667</v>
      </c>
      <c r="AA82" s="1056">
        <f t="shared" si="13"/>
        <v>15082785.800000001</v>
      </c>
    </row>
    <row r="83" spans="1:27" ht="27">
      <c r="A83" s="1049">
        <v>77</v>
      </c>
      <c r="B83" s="1062" t="s">
        <v>2698</v>
      </c>
      <c r="C83" s="1062" t="s">
        <v>2699</v>
      </c>
      <c r="D83" s="1065" t="s">
        <v>1053</v>
      </c>
      <c r="E83" s="1059" t="s">
        <v>815</v>
      </c>
      <c r="F83" s="1059" t="s">
        <v>2700</v>
      </c>
      <c r="G83" s="1052">
        <v>570953</v>
      </c>
      <c r="H83" s="1061">
        <f>G83*25%</f>
        <v>142738.25</v>
      </c>
      <c r="I83" s="1052"/>
      <c r="J83" s="1052"/>
      <c r="K83" s="1052"/>
      <c r="L83" s="1052"/>
      <c r="M83" s="33"/>
      <c r="N83" s="33"/>
      <c r="O83" s="33"/>
      <c r="P83" s="1052"/>
      <c r="Q83" s="1053">
        <f t="shared" si="8"/>
        <v>142738.25</v>
      </c>
      <c r="R83" s="1049"/>
      <c r="S83" s="1049"/>
      <c r="T83" s="1049"/>
      <c r="U83" s="1054">
        <f t="shared" si="10"/>
        <v>76127.066666666666</v>
      </c>
      <c r="V83" s="1055">
        <f t="shared" si="11"/>
        <v>76127.066666666666</v>
      </c>
      <c r="W83" s="1052">
        <v>132000</v>
      </c>
      <c r="X83" s="1052">
        <v>26400</v>
      </c>
      <c r="Y83" s="1055">
        <f t="shared" si="9"/>
        <v>158400</v>
      </c>
      <c r="Z83" s="1056">
        <f t="shared" si="12"/>
        <v>948218.31666666665</v>
      </c>
      <c r="AA83" s="1056">
        <f t="shared" si="13"/>
        <v>11378619.800000001</v>
      </c>
    </row>
    <row r="84" spans="1:27" ht="27">
      <c r="A84" s="1049">
        <v>78</v>
      </c>
      <c r="B84" s="1062" t="s">
        <v>2696</v>
      </c>
      <c r="C84" s="1062" t="s">
        <v>2701</v>
      </c>
      <c r="D84" s="1065" t="s">
        <v>1053</v>
      </c>
      <c r="E84" s="1059" t="s">
        <v>822</v>
      </c>
      <c r="F84" s="1074" t="s">
        <v>244</v>
      </c>
      <c r="G84" s="1052">
        <v>740561</v>
      </c>
      <c r="H84" s="1052"/>
      <c r="I84" s="1052"/>
      <c r="J84" s="1052">
        <f>+G84*0.1</f>
        <v>74056.100000000006</v>
      </c>
      <c r="K84" s="1075"/>
      <c r="L84" s="1075"/>
      <c r="M84" s="33"/>
      <c r="N84" s="33"/>
      <c r="O84" s="33"/>
      <c r="P84" s="1052"/>
      <c r="Q84" s="1053">
        <f t="shared" si="8"/>
        <v>74056.100000000006</v>
      </c>
      <c r="R84" s="1049"/>
      <c r="S84" s="1049"/>
      <c r="T84" s="1049"/>
      <c r="U84" s="1054">
        <f t="shared" si="10"/>
        <v>98741.466666666674</v>
      </c>
      <c r="V84" s="1055">
        <f t="shared" si="11"/>
        <v>98741.466666666674</v>
      </c>
      <c r="W84" s="1052">
        <v>132000</v>
      </c>
      <c r="X84" s="1052">
        <v>26400</v>
      </c>
      <c r="Y84" s="1055">
        <f t="shared" si="9"/>
        <v>158400</v>
      </c>
      <c r="Z84" s="1056">
        <f t="shared" si="12"/>
        <v>1071758.5666666667</v>
      </c>
      <c r="AA84" s="1056">
        <f t="shared" si="13"/>
        <v>12861102.800000001</v>
      </c>
    </row>
    <row r="85" spans="1:27" ht="27">
      <c r="A85" s="1049">
        <v>79</v>
      </c>
      <c r="B85" s="1062" t="s">
        <v>2702</v>
      </c>
      <c r="C85" s="1062" t="s">
        <v>2703</v>
      </c>
      <c r="D85" s="1065" t="s">
        <v>1053</v>
      </c>
      <c r="E85" s="1059" t="s">
        <v>2704</v>
      </c>
      <c r="F85" s="1059" t="s">
        <v>1001</v>
      </c>
      <c r="G85" s="1052">
        <v>669861</v>
      </c>
      <c r="H85" s="1052"/>
      <c r="I85" s="1052"/>
      <c r="J85" s="1052"/>
      <c r="K85" s="1075"/>
      <c r="L85" s="1075"/>
      <c r="M85" s="33"/>
      <c r="N85" s="33"/>
      <c r="O85" s="33"/>
      <c r="P85" s="1052"/>
      <c r="Q85" s="1053">
        <f t="shared" si="8"/>
        <v>0</v>
      </c>
      <c r="R85" s="1049"/>
      <c r="S85" s="1049"/>
      <c r="T85" s="1049"/>
      <c r="U85" s="1054">
        <f t="shared" si="10"/>
        <v>89314.8</v>
      </c>
      <c r="V85" s="1055">
        <f t="shared" si="11"/>
        <v>89314.8</v>
      </c>
      <c r="W85" s="1052">
        <v>132000</v>
      </c>
      <c r="X85" s="1052">
        <v>26400</v>
      </c>
      <c r="Y85" s="1055">
        <f t="shared" si="9"/>
        <v>158400</v>
      </c>
      <c r="Z85" s="1056">
        <f t="shared" si="12"/>
        <v>917575.8</v>
      </c>
      <c r="AA85" s="1056">
        <f t="shared" si="13"/>
        <v>11010909.600000001</v>
      </c>
    </row>
    <row r="86" spans="1:27" ht="27">
      <c r="A86" s="1049">
        <v>80</v>
      </c>
      <c r="B86" s="1062" t="s">
        <v>2705</v>
      </c>
      <c r="C86" s="1062" t="s">
        <v>2706</v>
      </c>
      <c r="D86" s="1065" t="s">
        <v>1053</v>
      </c>
      <c r="E86" s="1059" t="s">
        <v>2707</v>
      </c>
      <c r="F86" s="1059" t="s">
        <v>2708</v>
      </c>
      <c r="G86" s="1052">
        <v>550324</v>
      </c>
      <c r="H86" s="1061">
        <f>G86*25%</f>
        <v>137581</v>
      </c>
      <c r="I86" s="1052"/>
      <c r="J86" s="1052">
        <f>+G86*0.25</f>
        <v>137581</v>
      </c>
      <c r="K86" s="1075"/>
      <c r="L86" s="1075"/>
      <c r="M86" s="33"/>
      <c r="N86" s="33"/>
      <c r="O86" s="33"/>
      <c r="P86" s="1052"/>
      <c r="Q86" s="1053">
        <f t="shared" si="8"/>
        <v>275162</v>
      </c>
      <c r="R86" s="1049"/>
      <c r="S86" s="1049"/>
      <c r="T86" s="1049"/>
      <c r="U86" s="1054">
        <f t="shared" si="10"/>
        <v>73376.53333333334</v>
      </c>
      <c r="V86" s="1055">
        <f t="shared" si="11"/>
        <v>73376.53333333334</v>
      </c>
      <c r="W86" s="1052">
        <v>132000</v>
      </c>
      <c r="X86" s="1052">
        <v>26400</v>
      </c>
      <c r="Y86" s="1055">
        <f t="shared" si="9"/>
        <v>158400</v>
      </c>
      <c r="Z86" s="1056">
        <f t="shared" si="12"/>
        <v>1057262.5333333332</v>
      </c>
      <c r="AA86" s="1056">
        <f t="shared" si="13"/>
        <v>12687150.399999999</v>
      </c>
    </row>
    <row r="87" spans="1:27" ht="27">
      <c r="A87" s="1049">
        <v>81</v>
      </c>
      <c r="B87" s="1062" t="s">
        <v>2630</v>
      </c>
      <c r="C87" s="1062" t="s">
        <v>2709</v>
      </c>
      <c r="D87" s="1065" t="s">
        <v>1053</v>
      </c>
      <c r="E87" s="1059" t="s">
        <v>2707</v>
      </c>
      <c r="F87" s="1059" t="s">
        <v>2708</v>
      </c>
      <c r="G87" s="1052">
        <v>550324</v>
      </c>
      <c r="H87" s="1052"/>
      <c r="I87" s="1052"/>
      <c r="J87" s="1052">
        <f>+G87*0.25</f>
        <v>137581</v>
      </c>
      <c r="K87" s="1075"/>
      <c r="L87" s="1075"/>
      <c r="M87" s="33"/>
      <c r="N87" s="33"/>
      <c r="O87" s="33"/>
      <c r="P87" s="1052"/>
      <c r="Q87" s="1053">
        <f t="shared" si="8"/>
        <v>137581</v>
      </c>
      <c r="R87" s="1049"/>
      <c r="S87" s="1049"/>
      <c r="T87" s="1049"/>
      <c r="U87" s="1054">
        <f t="shared" si="10"/>
        <v>73376.53333333334</v>
      </c>
      <c r="V87" s="1055">
        <f t="shared" si="11"/>
        <v>73376.53333333334</v>
      </c>
      <c r="W87" s="1052">
        <v>132000</v>
      </c>
      <c r="X87" s="1052">
        <v>26400</v>
      </c>
      <c r="Y87" s="1055">
        <f t="shared" si="9"/>
        <v>158400</v>
      </c>
      <c r="Z87" s="1056">
        <f t="shared" si="12"/>
        <v>919681.53333333333</v>
      </c>
      <c r="AA87" s="1056">
        <f t="shared" si="13"/>
        <v>11036178.4</v>
      </c>
    </row>
    <row r="88" spans="1:27" ht="27">
      <c r="A88" s="1049">
        <v>82</v>
      </c>
      <c r="B88" s="1062" t="s">
        <v>2710</v>
      </c>
      <c r="C88" s="1062" t="s">
        <v>2670</v>
      </c>
      <c r="D88" s="1065" t="s">
        <v>1053</v>
      </c>
      <c r="E88" s="1059" t="s">
        <v>2711</v>
      </c>
      <c r="F88" s="1059" t="s">
        <v>2708</v>
      </c>
      <c r="G88" s="1052">
        <v>550324</v>
      </c>
      <c r="H88" s="1061">
        <f>G88*5%</f>
        <v>27516.2</v>
      </c>
      <c r="I88" s="1052"/>
      <c r="J88" s="1063"/>
      <c r="K88" s="1075"/>
      <c r="L88" s="1075"/>
      <c r="M88" s="33"/>
      <c r="N88" s="33"/>
      <c r="O88" s="33"/>
      <c r="P88" s="1052">
        <f>G88*0.4</f>
        <v>220129.6</v>
      </c>
      <c r="Q88" s="1053">
        <f t="shared" si="8"/>
        <v>247645.80000000002</v>
      </c>
      <c r="R88" s="1049"/>
      <c r="S88" s="1049"/>
      <c r="T88" s="1049"/>
      <c r="U88" s="1054">
        <f t="shared" si="10"/>
        <v>73376.53333333334</v>
      </c>
      <c r="V88" s="1055">
        <f t="shared" si="11"/>
        <v>73376.53333333334</v>
      </c>
      <c r="W88" s="1052">
        <v>132000</v>
      </c>
      <c r="X88" s="1052">
        <v>26400</v>
      </c>
      <c r="Y88" s="1055">
        <f t="shared" si="9"/>
        <v>158400</v>
      </c>
      <c r="Z88" s="1056">
        <f t="shared" si="12"/>
        <v>1029746.3333333334</v>
      </c>
      <c r="AA88" s="1056">
        <f t="shared" si="13"/>
        <v>12356956</v>
      </c>
    </row>
    <row r="89" spans="1:27" ht="27">
      <c r="A89" s="1049">
        <v>83</v>
      </c>
      <c r="B89" s="1062" t="s">
        <v>2712</v>
      </c>
      <c r="C89" s="1062" t="s">
        <v>2663</v>
      </c>
      <c r="D89" s="1065" t="s">
        <v>1053</v>
      </c>
      <c r="E89" s="1059" t="s">
        <v>273</v>
      </c>
      <c r="F89" s="1059" t="s">
        <v>2713</v>
      </c>
      <c r="G89" s="1052">
        <v>505706</v>
      </c>
      <c r="H89" s="1061">
        <f>G89*20%</f>
        <v>101141.20000000001</v>
      </c>
      <c r="I89" s="1052"/>
      <c r="J89" s="1052">
        <f t="shared" ref="J89:J90" si="14">+G89*0.25</f>
        <v>126426.5</v>
      </c>
      <c r="K89" s="1075"/>
      <c r="L89" s="1075"/>
      <c r="M89" s="33"/>
      <c r="N89" s="33"/>
      <c r="O89" s="33"/>
      <c r="P89" s="1052"/>
      <c r="Q89" s="1053">
        <f t="shared" si="8"/>
        <v>227567.7</v>
      </c>
      <c r="R89" s="1049"/>
      <c r="S89" s="1049"/>
      <c r="T89" s="1049"/>
      <c r="U89" s="1054">
        <f t="shared" si="10"/>
        <v>67427.466666666674</v>
      </c>
      <c r="V89" s="1055">
        <f t="shared" si="11"/>
        <v>67427.466666666674</v>
      </c>
      <c r="W89" s="1052">
        <v>132000</v>
      </c>
      <c r="X89" s="1052">
        <v>26400</v>
      </c>
      <c r="Y89" s="1055">
        <f t="shared" si="9"/>
        <v>158400</v>
      </c>
      <c r="Z89" s="1056">
        <f t="shared" si="12"/>
        <v>959101.16666666674</v>
      </c>
      <c r="AA89" s="1056">
        <f t="shared" si="13"/>
        <v>11509214</v>
      </c>
    </row>
    <row r="90" spans="1:27" ht="27">
      <c r="A90" s="1049">
        <v>84</v>
      </c>
      <c r="B90" s="1062" t="s">
        <v>2714</v>
      </c>
      <c r="C90" s="1062" t="s">
        <v>2697</v>
      </c>
      <c r="D90" s="1065" t="s">
        <v>1053</v>
      </c>
      <c r="E90" s="1059" t="s">
        <v>273</v>
      </c>
      <c r="F90" s="1059" t="s">
        <v>2713</v>
      </c>
      <c r="G90" s="1052">
        <v>505706</v>
      </c>
      <c r="H90" s="1061">
        <f>G90*15%</f>
        <v>75855.899999999994</v>
      </c>
      <c r="I90" s="1052"/>
      <c r="J90" s="1052">
        <f t="shared" si="14"/>
        <v>126426.5</v>
      </c>
      <c r="K90" s="1075"/>
      <c r="L90" s="1075"/>
      <c r="M90" s="33"/>
      <c r="N90" s="33"/>
      <c r="O90" s="33"/>
      <c r="P90" s="1052"/>
      <c r="Q90" s="1053">
        <f t="shared" si="8"/>
        <v>202282.4</v>
      </c>
      <c r="R90" s="1049"/>
      <c r="S90" s="1049"/>
      <c r="T90" s="1049"/>
      <c r="U90" s="1054">
        <f t="shared" si="10"/>
        <v>67427.466666666674</v>
      </c>
      <c r="V90" s="1055">
        <f t="shared" si="11"/>
        <v>67427.466666666674</v>
      </c>
      <c r="W90" s="1052">
        <v>132000</v>
      </c>
      <c r="X90" s="1052">
        <v>26400</v>
      </c>
      <c r="Y90" s="1055">
        <f t="shared" si="9"/>
        <v>158400</v>
      </c>
      <c r="Z90" s="1056">
        <f t="shared" si="12"/>
        <v>933815.8666666667</v>
      </c>
      <c r="AA90" s="1056">
        <f t="shared" si="13"/>
        <v>11205790.4</v>
      </c>
    </row>
    <row r="91" spans="1:27" s="32" customFormat="1" ht="13.5">
      <c r="A91" s="33"/>
      <c r="B91" s="33"/>
      <c r="C91" s="33"/>
      <c r="D91" s="33"/>
      <c r="E91" s="33"/>
      <c r="F91" s="33"/>
      <c r="G91" s="1043">
        <f>SUM(G7:G90)</f>
        <v>59596551</v>
      </c>
      <c r="H91" s="1043">
        <f t="shared" ref="H91:Y91" si="15">SUM(H7:H90)</f>
        <v>4961082.2000000011</v>
      </c>
      <c r="I91" s="1043">
        <f t="shared" si="15"/>
        <v>135161.85</v>
      </c>
      <c r="J91" s="1043">
        <f t="shared" si="15"/>
        <v>8780012.5500000007</v>
      </c>
      <c r="K91" s="1043">
        <f t="shared" si="15"/>
        <v>1878087.65</v>
      </c>
      <c r="L91" s="1043">
        <f t="shared" si="15"/>
        <v>0</v>
      </c>
      <c r="M91" s="1043">
        <f t="shared" si="15"/>
        <v>0</v>
      </c>
      <c r="N91" s="1043">
        <f t="shared" si="15"/>
        <v>0</v>
      </c>
      <c r="O91" s="1043">
        <f t="shared" si="15"/>
        <v>154140</v>
      </c>
      <c r="P91" s="1043">
        <f t="shared" si="15"/>
        <v>331213.59999999998</v>
      </c>
      <c r="Q91" s="1043">
        <f t="shared" si="15"/>
        <v>16239697.849999998</v>
      </c>
      <c r="R91" s="1043">
        <f t="shared" si="15"/>
        <v>0</v>
      </c>
      <c r="S91" s="1043">
        <f t="shared" si="15"/>
        <v>0</v>
      </c>
      <c r="T91" s="1043">
        <f t="shared" si="15"/>
        <v>0</v>
      </c>
      <c r="U91" s="1043">
        <f t="shared" si="15"/>
        <v>7946206.8000000007</v>
      </c>
      <c r="V91" s="1043">
        <f t="shared" si="15"/>
        <v>7946206.8000000007</v>
      </c>
      <c r="W91" s="1043">
        <f t="shared" si="15"/>
        <v>11088000</v>
      </c>
      <c r="X91" s="1043">
        <f t="shared" si="15"/>
        <v>2217600</v>
      </c>
      <c r="Y91" s="1043">
        <f t="shared" si="15"/>
        <v>13305600</v>
      </c>
      <c r="Z91" s="1044">
        <f>SUM(Z7:Z90)</f>
        <v>97088055.649999976</v>
      </c>
      <c r="AA91" s="1044">
        <f>SUM(AA7:AA90)</f>
        <v>1165056667.8</v>
      </c>
    </row>
    <row r="93" spans="1:27">
      <c r="Z93" s="1045">
        <f>Y91+V91+Q91+G91</f>
        <v>97088055.650000006</v>
      </c>
      <c r="AA93" s="1045">
        <f>Z93*12</f>
        <v>1165056667.8000002</v>
      </c>
    </row>
    <row r="94" spans="1:27">
      <c r="Z94" s="832">
        <f>Z93-Z91</f>
        <v>0</v>
      </c>
      <c r="AA94" s="832">
        <f>AA93-AA91</f>
        <v>0</v>
      </c>
    </row>
  </sheetData>
  <mergeCells count="29">
    <mergeCell ref="A2:F2"/>
    <mergeCell ref="G2:Y2"/>
    <mergeCell ref="Z2:Z5"/>
    <mergeCell ref="AA2:AA5"/>
    <mergeCell ref="A3:A5"/>
    <mergeCell ref="B3:B5"/>
    <mergeCell ref="C3:C5"/>
    <mergeCell ref="D3:D5"/>
    <mergeCell ref="E3:E5"/>
    <mergeCell ref="F3:G4"/>
    <mergeCell ref="H3:Q3"/>
    <mergeCell ref="R3:V3"/>
    <mergeCell ref="W3:Y3"/>
    <mergeCell ref="H4:H5"/>
    <mergeCell ref="I4:I5"/>
    <mergeCell ref="J4:J5"/>
    <mergeCell ref="K4:K5"/>
    <mergeCell ref="L4:L5"/>
    <mergeCell ref="M4:N4"/>
    <mergeCell ref="O4:O5"/>
    <mergeCell ref="W4:W5"/>
    <mergeCell ref="X4:X5"/>
    <mergeCell ref="Y4:Y5"/>
    <mergeCell ref="P4:P5"/>
    <mergeCell ref="Q4:Q5"/>
    <mergeCell ref="R4:R5"/>
    <mergeCell ref="S4:T4"/>
    <mergeCell ref="U4:U5"/>
    <mergeCell ref="V4:V5"/>
  </mergeCells>
  <pageMargins left="0.2" right="0.2" top="0.25" bottom="0.25" header="0.3" footer="0.3"/>
  <pageSetup scale="5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3"/>
  <sheetViews>
    <sheetView workbookViewId="0">
      <selection activeCell="H19" sqref="H19"/>
    </sheetView>
  </sheetViews>
  <sheetFormatPr defaultRowHeight="14.25"/>
  <cols>
    <col min="1" max="1" width="4.85546875" style="698" customWidth="1"/>
    <col min="2" max="2" width="29.5703125" style="699" customWidth="1"/>
    <col min="3" max="3" width="18.85546875" style="699" customWidth="1"/>
    <col min="4" max="4" width="18.85546875" style="700" customWidth="1"/>
    <col min="5" max="6" width="20.140625" style="700" customWidth="1"/>
    <col min="7" max="16" width="9.140625" style="621"/>
    <col min="17" max="17" width="15.28515625" style="680" customWidth="1"/>
    <col min="18" max="18" width="11.5703125" style="621" bestFit="1" customWidth="1"/>
    <col min="19" max="19" width="12.7109375" style="621" bestFit="1" customWidth="1"/>
    <col min="20" max="22" width="9.140625" style="621"/>
    <col min="23" max="16384" width="9.140625" style="580"/>
  </cols>
  <sheetData>
    <row r="2" spans="1:22" ht="15.75">
      <c r="A2" s="1554" t="s">
        <v>1442</v>
      </c>
      <c r="B2" s="1554"/>
      <c r="C2" s="1554"/>
      <c r="D2" s="1554"/>
      <c r="E2" s="1554"/>
      <c r="F2" s="1554"/>
    </row>
    <row r="3" spans="1:22" ht="15.75">
      <c r="A3" s="681"/>
      <c r="B3" s="682"/>
      <c r="C3" s="682"/>
      <c r="D3" s="683"/>
      <c r="E3" s="683"/>
      <c r="F3" s="683"/>
    </row>
    <row r="4" spans="1:22" ht="15">
      <c r="A4" s="1555" t="s">
        <v>1</v>
      </c>
      <c r="B4" s="1557" t="s">
        <v>1443</v>
      </c>
      <c r="C4" s="1557" t="s">
        <v>1444</v>
      </c>
      <c r="D4" s="1559" t="s">
        <v>1445</v>
      </c>
      <c r="E4" s="1559"/>
      <c r="F4" s="1559"/>
    </row>
    <row r="5" spans="1:22" ht="15">
      <c r="A5" s="1556"/>
      <c r="B5" s="1558"/>
      <c r="C5" s="1558"/>
      <c r="D5" s="684" t="s">
        <v>1446</v>
      </c>
      <c r="E5" s="684" t="s">
        <v>1447</v>
      </c>
      <c r="F5" s="684" t="s">
        <v>1448</v>
      </c>
    </row>
    <row r="6" spans="1:22" ht="15">
      <c r="A6" s="1550" t="s">
        <v>1449</v>
      </c>
      <c r="B6" s="1550"/>
      <c r="C6" s="1550"/>
      <c r="D6" s="1550"/>
      <c r="E6" s="1550"/>
      <c r="F6" s="1550"/>
    </row>
    <row r="7" spans="1:22" s="690" customFormat="1" ht="57">
      <c r="A7" s="685">
        <v>1.1000000000000001</v>
      </c>
      <c r="B7" s="686" t="s">
        <v>1450</v>
      </c>
      <c r="C7" s="686" t="s">
        <v>1451</v>
      </c>
      <c r="D7" s="687">
        <f>+'[1]ЭТТШБ-ын орлогын тооцоо'!H20</f>
        <v>77408333.333333328</v>
      </c>
      <c r="E7" s="687">
        <f>+'[1]ЭТТШБ-ын орлогын тооцоо'!K20</f>
        <v>61926666.666666664</v>
      </c>
      <c r="F7" s="687">
        <f>+'[1]ЭТТШБ-ын орлогын тооцоо'!N20</f>
        <v>92890000</v>
      </c>
      <c r="G7" s="688"/>
      <c r="H7" s="688"/>
      <c r="I7" s="688"/>
      <c r="J7" s="688"/>
      <c r="K7" s="688"/>
      <c r="L7" s="688"/>
      <c r="M7" s="688"/>
      <c r="N7" s="688"/>
      <c r="O7" s="688"/>
      <c r="P7" s="688"/>
      <c r="Q7" s="689"/>
      <c r="R7" s="688"/>
      <c r="S7" s="688"/>
      <c r="T7" s="688"/>
      <c r="U7" s="688"/>
      <c r="V7" s="688"/>
    </row>
    <row r="8" spans="1:22" ht="15">
      <c r="A8" s="578"/>
      <c r="B8" s="691" t="s">
        <v>284</v>
      </c>
      <c r="C8" s="691"/>
      <c r="D8" s="692">
        <f>SUM(D7:D7)</f>
        <v>77408333.333333328</v>
      </c>
      <c r="E8" s="692">
        <f>+'[1]ЭТТШБ-ын орлогын тооцоо'!K20</f>
        <v>61926666.666666664</v>
      </c>
      <c r="F8" s="692">
        <f>SUM(F7:F7)</f>
        <v>92890000</v>
      </c>
    </row>
    <row r="9" spans="1:22" ht="15">
      <c r="A9" s="1550" t="s">
        <v>1452</v>
      </c>
      <c r="B9" s="1550"/>
      <c r="C9" s="1550"/>
      <c r="D9" s="1550"/>
      <c r="E9" s="1550"/>
      <c r="F9" s="1550"/>
    </row>
    <row r="10" spans="1:22" s="690" customFormat="1" ht="28.5">
      <c r="A10" s="685">
        <v>2.1</v>
      </c>
      <c r="B10" s="693" t="s">
        <v>1453</v>
      </c>
      <c r="C10" s="1551" t="s">
        <v>1454</v>
      </c>
      <c r="D10" s="687">
        <f>+'[1]эмийн бүртгэлийн тооцоо'!E13</f>
        <v>64000000</v>
      </c>
      <c r="E10" s="687">
        <f>+'[1]эмийн бүртгэлийн тооцоо'!E28</f>
        <v>474000000</v>
      </c>
      <c r="F10" s="687">
        <f>+'[1]эмийн бүртгэлийн тооцоо'!E43</f>
        <v>229000000</v>
      </c>
      <c r="G10" s="688"/>
      <c r="H10" s="688"/>
      <c r="I10" s="688"/>
      <c r="J10" s="688"/>
      <c r="K10" s="688"/>
      <c r="L10" s="688"/>
      <c r="M10" s="688"/>
      <c r="N10" s="688"/>
      <c r="O10" s="688"/>
      <c r="P10" s="688"/>
      <c r="Q10" s="689"/>
      <c r="R10" s="688"/>
      <c r="S10" s="688"/>
      <c r="T10" s="688"/>
      <c r="U10" s="688"/>
      <c r="V10" s="688"/>
    </row>
    <row r="11" spans="1:22" s="690" customFormat="1" ht="28.5">
      <c r="A11" s="685">
        <v>2.2000000000000002</v>
      </c>
      <c r="B11" s="693" t="s">
        <v>1455</v>
      </c>
      <c r="C11" s="1552"/>
      <c r="D11" s="687">
        <f>+'[1]эмийн бүртгэлийн тооцоо'!H13</f>
        <v>47700000</v>
      </c>
      <c r="E11" s="687">
        <f>+'[1]эмийн бүртгэлийн тооцоо'!H28</f>
        <v>263500000</v>
      </c>
      <c r="F11" s="687">
        <f>+'[1]эмийн бүртгэлийн тооцоо'!H43</f>
        <v>161750000</v>
      </c>
      <c r="G11" s="688"/>
      <c r="H11" s="688"/>
      <c r="I11" s="688"/>
      <c r="J11" s="688"/>
      <c r="K11" s="688"/>
      <c r="L11" s="688"/>
      <c r="M11" s="688"/>
      <c r="N11" s="688"/>
      <c r="O11" s="688"/>
      <c r="P11" s="688"/>
      <c r="Q11" s="689"/>
      <c r="R11" s="688"/>
      <c r="S11" s="688"/>
      <c r="T11" s="688"/>
      <c r="U11" s="688"/>
      <c r="V11" s="688"/>
    </row>
    <row r="12" spans="1:22" s="690" customFormat="1" ht="28.5">
      <c r="A12" s="685">
        <v>2.2999999999999998</v>
      </c>
      <c r="B12" s="693" t="s">
        <v>1456</v>
      </c>
      <c r="C12" s="1553"/>
      <c r="D12" s="687">
        <f>+'[1]эмийн бүртгэлийн тооцоо'!K13</f>
        <v>19000000</v>
      </c>
      <c r="E12" s="687">
        <f>+'[1]эмийн бүртгэлийн тооцоо'!K28</f>
        <v>114000000</v>
      </c>
      <c r="F12" s="687">
        <f>+'[1]эмийн бүртгэлийн тооцоо'!K43</f>
        <v>72000000</v>
      </c>
      <c r="G12" s="688"/>
      <c r="H12" s="688"/>
      <c r="I12" s="688"/>
      <c r="J12" s="688"/>
      <c r="K12" s="688"/>
      <c r="L12" s="688"/>
      <c r="M12" s="688"/>
      <c r="N12" s="688"/>
      <c r="O12" s="688"/>
      <c r="P12" s="688"/>
      <c r="Q12" s="689"/>
      <c r="R12" s="688"/>
      <c r="S12" s="688"/>
      <c r="T12" s="688"/>
      <c r="U12" s="688"/>
      <c r="V12" s="688"/>
    </row>
    <row r="13" spans="1:22" ht="15">
      <c r="A13" s="578"/>
      <c r="B13" s="691" t="s">
        <v>284</v>
      </c>
      <c r="C13" s="691"/>
      <c r="D13" s="692">
        <f>+D10+D11+D12</f>
        <v>130700000</v>
      </c>
      <c r="E13" s="692">
        <f>+E10+E11+E12</f>
        <v>851500000</v>
      </c>
      <c r="F13" s="692">
        <f>+F10+F11+F12</f>
        <v>462750000</v>
      </c>
    </row>
    <row r="14" spans="1:22" s="621" customFormat="1" ht="15">
      <c r="A14" s="578"/>
      <c r="B14" s="691" t="s">
        <v>1457</v>
      </c>
      <c r="C14" s="691"/>
      <c r="D14" s="694">
        <f>+D8+D13</f>
        <v>208108333.33333331</v>
      </c>
      <c r="E14" s="694">
        <f>+E8+E13</f>
        <v>913426666.66666663</v>
      </c>
      <c r="F14" s="694">
        <f>+F8+F13</f>
        <v>555640000</v>
      </c>
      <c r="Q14" s="680"/>
    </row>
    <row r="15" spans="1:22" s="621" customFormat="1" ht="15">
      <c r="A15" s="695"/>
      <c r="B15" s="696"/>
      <c r="C15" s="696"/>
      <c r="D15" s="697"/>
      <c r="E15" s="697"/>
      <c r="F15" s="697"/>
      <c r="Q15" s="680"/>
    </row>
    <row r="16" spans="1:22" s="621" customFormat="1" ht="15">
      <c r="A16" s="695"/>
      <c r="B16" s="696"/>
      <c r="C16" s="696"/>
      <c r="D16" s="697"/>
      <c r="E16" s="697"/>
      <c r="F16" s="697"/>
      <c r="Q16" s="680"/>
    </row>
    <row r="17" spans="1:17" s="621" customFormat="1" ht="15">
      <c r="A17" s="695"/>
      <c r="B17" s="696"/>
      <c r="C17" s="696"/>
      <c r="D17" s="697"/>
      <c r="E17" s="697"/>
      <c r="F17" s="697"/>
      <c r="Q17" s="680"/>
    </row>
    <row r="19" spans="1:17" s="621" customFormat="1">
      <c r="A19" s="698"/>
      <c r="B19" s="699" t="s">
        <v>1458</v>
      </c>
      <c r="C19" s="699"/>
      <c r="D19" s="700" t="s">
        <v>1459</v>
      </c>
      <c r="E19" s="700"/>
      <c r="F19" s="700"/>
      <c r="Q19" s="680"/>
    </row>
    <row r="21" spans="1:17" s="621" customFormat="1">
      <c r="A21" s="698"/>
      <c r="B21" s="699" t="s">
        <v>1460</v>
      </c>
      <c r="C21" s="699"/>
      <c r="D21" s="700" t="s">
        <v>1461</v>
      </c>
      <c r="E21" s="700"/>
      <c r="F21" s="700"/>
      <c r="Q21" s="680"/>
    </row>
    <row r="23" spans="1:17" s="621" customFormat="1">
      <c r="A23" s="698"/>
      <c r="B23" s="699"/>
      <c r="C23" s="699"/>
      <c r="D23" s="700" t="s">
        <v>1462</v>
      </c>
      <c r="E23" s="700"/>
      <c r="F23" s="700"/>
      <c r="Q23" s="680"/>
    </row>
  </sheetData>
  <mergeCells count="8">
    <mergeCell ref="A9:F9"/>
    <mergeCell ref="C10:C12"/>
    <mergeCell ref="A2:F2"/>
    <mergeCell ref="A4:A5"/>
    <mergeCell ref="B4:B5"/>
    <mergeCell ref="C4:C5"/>
    <mergeCell ref="D4:F4"/>
    <mergeCell ref="A6:F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workbookViewId="0">
      <selection activeCell="S4" sqref="S4"/>
    </sheetView>
  </sheetViews>
  <sheetFormatPr defaultRowHeight="14.25"/>
  <cols>
    <col min="1" max="1" width="3.42578125" style="580" customWidth="1"/>
    <col min="2" max="2" width="31.42578125" style="580" customWidth="1"/>
    <col min="3" max="6" width="5.7109375" style="580" customWidth="1"/>
    <col min="7" max="8" width="5.28515625" style="580" customWidth="1"/>
    <col min="9" max="9" width="5.42578125" style="580" customWidth="1"/>
    <col min="10" max="10" width="5.140625" style="580" customWidth="1"/>
    <col min="11" max="11" width="5.7109375" style="580" customWidth="1"/>
    <col min="12" max="12" width="5.5703125" style="580" customWidth="1"/>
    <col min="13" max="13" width="5.140625" style="580" customWidth="1"/>
    <col min="14" max="15" width="5.28515625" style="580" customWidth="1"/>
    <col min="16" max="16" width="4.85546875" style="580" customWidth="1"/>
    <col min="17" max="17" width="10.5703125" style="580" customWidth="1"/>
    <col min="18" max="19" width="9.140625" style="580"/>
    <col min="20" max="20" width="32" style="580" customWidth="1"/>
    <col min="21" max="16384" width="9.140625" style="580"/>
  </cols>
  <sheetData>
    <row r="1" spans="1:20">
      <c r="A1" s="1562" t="s">
        <v>1463</v>
      </c>
      <c r="B1" s="1563"/>
      <c r="C1" s="1563"/>
      <c r="D1" s="1563"/>
      <c r="E1" s="1563"/>
      <c r="F1" s="1563"/>
      <c r="G1" s="1563"/>
      <c r="H1" s="1563"/>
      <c r="I1" s="1563"/>
      <c r="J1" s="1563"/>
      <c r="K1" s="1563"/>
      <c r="L1" s="1563"/>
      <c r="M1" s="1563"/>
      <c r="N1" s="1563"/>
      <c r="O1" s="1563"/>
      <c r="P1" s="1563"/>
      <c r="Q1" s="1563"/>
    </row>
    <row r="2" spans="1:20" ht="15.75">
      <c r="A2" s="701"/>
      <c r="B2" s="702"/>
      <c r="C2" s="702"/>
      <c r="D2" s="702"/>
      <c r="E2" s="702"/>
      <c r="F2" s="702"/>
      <c r="G2" s="702"/>
      <c r="H2" s="702"/>
      <c r="I2" s="702"/>
      <c r="J2" s="702"/>
      <c r="K2" s="702"/>
      <c r="L2" s="702"/>
      <c r="M2" s="702"/>
      <c r="N2" s="702"/>
      <c r="O2" s="702"/>
      <c r="P2" s="702"/>
      <c r="Q2" s="703"/>
    </row>
    <row r="3" spans="1:20" ht="20.25" customHeight="1">
      <c r="A3" s="1564" t="s">
        <v>1</v>
      </c>
      <c r="B3" s="1564" t="s">
        <v>1464</v>
      </c>
      <c r="C3" s="1564" t="s">
        <v>1465</v>
      </c>
      <c r="D3" s="1564"/>
      <c r="E3" s="1564"/>
      <c r="F3" s="1564"/>
      <c r="G3" s="1564"/>
      <c r="H3" s="1564"/>
      <c r="I3" s="1564"/>
      <c r="J3" s="1564"/>
      <c r="K3" s="1564"/>
      <c r="L3" s="1564"/>
      <c r="M3" s="1564"/>
      <c r="N3" s="1564"/>
      <c r="O3" s="1564"/>
      <c r="P3" s="1564"/>
      <c r="Q3" s="1565" t="s">
        <v>156</v>
      </c>
    </row>
    <row r="4" spans="1:20" ht="184.5" customHeight="1">
      <c r="A4" s="1564"/>
      <c r="B4" s="1564"/>
      <c r="C4" s="704" t="s">
        <v>1466</v>
      </c>
      <c r="D4" s="704" t="s">
        <v>1467</v>
      </c>
      <c r="E4" s="704" t="s">
        <v>1468</v>
      </c>
      <c r="F4" s="704" t="s">
        <v>1469</v>
      </c>
      <c r="G4" s="704" t="s">
        <v>1470</v>
      </c>
      <c r="H4" s="704" t="s">
        <v>1471</v>
      </c>
      <c r="I4" s="704" t="s">
        <v>1472</v>
      </c>
      <c r="J4" s="704" t="s">
        <v>1473</v>
      </c>
      <c r="K4" s="704" t="s">
        <v>1474</v>
      </c>
      <c r="L4" s="704" t="s">
        <v>1475</v>
      </c>
      <c r="M4" s="704" t="s">
        <v>1476</v>
      </c>
      <c r="N4" s="704" t="s">
        <v>1477</v>
      </c>
      <c r="O4" s="704" t="s">
        <v>1478</v>
      </c>
      <c r="P4" s="704" t="s">
        <v>1479</v>
      </c>
      <c r="Q4" s="1566"/>
    </row>
    <row r="5" spans="1:20" s="706" customFormat="1">
      <c r="A5" s="1567" t="s">
        <v>1480</v>
      </c>
      <c r="B5" s="1567"/>
      <c r="C5" s="705"/>
      <c r="D5" s="705"/>
      <c r="E5" s="705"/>
      <c r="F5" s="705"/>
      <c r="G5" s="705"/>
      <c r="H5" s="705"/>
      <c r="I5" s="705"/>
      <c r="J5" s="705"/>
      <c r="K5" s="705"/>
      <c r="L5" s="705"/>
      <c r="M5" s="705"/>
      <c r="N5" s="705"/>
      <c r="O5" s="705"/>
      <c r="P5" s="705"/>
      <c r="Q5" s="705"/>
    </row>
    <row r="6" spans="1:20" s="706" customFormat="1" ht="25.5">
      <c r="A6" s="502">
        <v>1</v>
      </c>
      <c r="B6" s="707" t="s">
        <v>1481</v>
      </c>
      <c r="C6" s="708">
        <v>11</v>
      </c>
      <c r="D6" s="502">
        <v>11</v>
      </c>
      <c r="E6" s="502">
        <v>22</v>
      </c>
      <c r="F6" s="708">
        <v>6</v>
      </c>
      <c r="G6" s="502">
        <v>0</v>
      </c>
      <c r="H6" s="502">
        <v>3</v>
      </c>
      <c r="I6" s="708">
        <v>2</v>
      </c>
      <c r="J6" s="502">
        <v>1</v>
      </c>
      <c r="K6" s="502">
        <v>45</v>
      </c>
      <c r="L6" s="708">
        <v>9</v>
      </c>
      <c r="M6" s="502">
        <v>30</v>
      </c>
      <c r="N6" s="502">
        <v>25</v>
      </c>
      <c r="O6" s="708">
        <v>6</v>
      </c>
      <c r="P6" s="502">
        <v>5</v>
      </c>
      <c r="Q6" s="502">
        <f>SUM(C6:P6)</f>
        <v>176</v>
      </c>
      <c r="T6" s="709" t="s">
        <v>1482</v>
      </c>
    </row>
    <row r="7" spans="1:20" s="706" customFormat="1" ht="25.5">
      <c r="A7" s="502">
        <f>+A6+1</f>
        <v>2</v>
      </c>
      <c r="B7" s="707" t="s">
        <v>1483</v>
      </c>
      <c r="C7" s="708">
        <v>0</v>
      </c>
      <c r="D7" s="502">
        <v>0</v>
      </c>
      <c r="E7" s="502">
        <v>0</v>
      </c>
      <c r="F7" s="502">
        <v>0</v>
      </c>
      <c r="G7" s="502">
        <v>0</v>
      </c>
      <c r="H7" s="502">
        <v>0</v>
      </c>
      <c r="I7" s="502">
        <v>0</v>
      </c>
      <c r="J7" s="502">
        <v>0</v>
      </c>
      <c r="K7" s="502">
        <v>2</v>
      </c>
      <c r="L7" s="502">
        <v>0</v>
      </c>
      <c r="M7" s="502">
        <v>0</v>
      </c>
      <c r="N7" s="502">
        <v>0</v>
      </c>
      <c r="O7" s="502">
        <v>0</v>
      </c>
      <c r="P7" s="502">
        <v>0</v>
      </c>
      <c r="Q7" s="502">
        <f t="shared" ref="Q7:Q43" si="0">SUM(C7:P7)</f>
        <v>2</v>
      </c>
      <c r="T7" s="709" t="s">
        <v>1484</v>
      </c>
    </row>
    <row r="8" spans="1:20" s="706" customFormat="1" ht="25.5">
      <c r="A8" s="502">
        <f>+A7+1</f>
        <v>3</v>
      </c>
      <c r="B8" s="707" t="s">
        <v>1485</v>
      </c>
      <c r="C8" s="708">
        <v>2</v>
      </c>
      <c r="D8" s="502">
        <v>5</v>
      </c>
      <c r="E8" s="502">
        <v>2</v>
      </c>
      <c r="F8" s="502">
        <v>2</v>
      </c>
      <c r="G8" s="502">
        <v>0</v>
      </c>
      <c r="H8" s="502">
        <v>0</v>
      </c>
      <c r="I8" s="502">
        <v>0</v>
      </c>
      <c r="J8" s="502">
        <v>0</v>
      </c>
      <c r="K8" s="502">
        <v>6</v>
      </c>
      <c r="L8" s="502">
        <v>2</v>
      </c>
      <c r="M8" s="502">
        <v>3</v>
      </c>
      <c r="N8" s="502">
        <v>3</v>
      </c>
      <c r="O8" s="502">
        <v>2</v>
      </c>
      <c r="P8" s="502">
        <v>0</v>
      </c>
      <c r="Q8" s="502">
        <f t="shared" si="0"/>
        <v>27</v>
      </c>
      <c r="T8" s="710" t="s">
        <v>1486</v>
      </c>
    </row>
    <row r="9" spans="1:20" s="706" customFormat="1" ht="26.25" customHeight="1">
      <c r="A9" s="502">
        <f>+A8+1</f>
        <v>4</v>
      </c>
      <c r="B9" s="709" t="s">
        <v>1487</v>
      </c>
      <c r="C9" s="708">
        <v>1</v>
      </c>
      <c r="D9" s="502">
        <v>0</v>
      </c>
      <c r="E9" s="502">
        <v>0</v>
      </c>
      <c r="F9" s="502">
        <v>1</v>
      </c>
      <c r="G9" s="502">
        <v>0</v>
      </c>
      <c r="H9" s="502">
        <v>0</v>
      </c>
      <c r="I9" s="502">
        <v>0</v>
      </c>
      <c r="J9" s="502">
        <v>0</v>
      </c>
      <c r="K9" s="502">
        <v>1</v>
      </c>
      <c r="L9" s="502">
        <v>0</v>
      </c>
      <c r="M9" s="502">
        <v>0</v>
      </c>
      <c r="N9" s="502">
        <v>1</v>
      </c>
      <c r="O9" s="502">
        <v>0</v>
      </c>
      <c r="P9" s="502">
        <v>0</v>
      </c>
      <c r="Q9" s="502">
        <f t="shared" si="0"/>
        <v>4</v>
      </c>
    </row>
    <row r="10" spans="1:20" s="706" customFormat="1">
      <c r="A10" s="502">
        <f>+A9+1</f>
        <v>5</v>
      </c>
      <c r="B10" s="709" t="s">
        <v>1488</v>
      </c>
      <c r="C10" s="708">
        <v>0</v>
      </c>
      <c r="D10" s="502">
        <v>0</v>
      </c>
      <c r="E10" s="502">
        <v>0</v>
      </c>
      <c r="F10" s="502">
        <v>3</v>
      </c>
      <c r="G10" s="502">
        <v>0</v>
      </c>
      <c r="H10" s="502">
        <v>0</v>
      </c>
      <c r="I10" s="502">
        <v>0</v>
      </c>
      <c r="J10" s="502">
        <v>0</v>
      </c>
      <c r="K10" s="502">
        <v>0</v>
      </c>
      <c r="L10" s="502">
        <v>0</v>
      </c>
      <c r="M10" s="502">
        <v>0</v>
      </c>
      <c r="N10" s="502">
        <v>0</v>
      </c>
      <c r="O10" s="502">
        <v>0</v>
      </c>
      <c r="P10" s="502">
        <v>1</v>
      </c>
      <c r="Q10" s="502">
        <f t="shared" si="0"/>
        <v>4</v>
      </c>
    </row>
    <row r="11" spans="1:20" s="706" customFormat="1">
      <c r="A11" s="502">
        <f>+A10+1</f>
        <v>6</v>
      </c>
      <c r="B11" s="709" t="s">
        <v>1489</v>
      </c>
      <c r="C11" s="502">
        <v>0</v>
      </c>
      <c r="D11" s="502">
        <v>0</v>
      </c>
      <c r="E11" s="502">
        <v>10</v>
      </c>
      <c r="F11" s="502">
        <v>1</v>
      </c>
      <c r="G11" s="502">
        <v>0</v>
      </c>
      <c r="H11" s="502">
        <v>0</v>
      </c>
      <c r="I11" s="502">
        <v>5</v>
      </c>
      <c r="J11" s="502">
        <v>5</v>
      </c>
      <c r="K11" s="502">
        <v>1</v>
      </c>
      <c r="L11" s="502">
        <v>0</v>
      </c>
      <c r="M11" s="502">
        <v>0</v>
      </c>
      <c r="N11" s="502">
        <v>9</v>
      </c>
      <c r="O11" s="502">
        <v>1</v>
      </c>
      <c r="P11" s="502">
        <v>0</v>
      </c>
      <c r="Q11" s="502">
        <f t="shared" si="0"/>
        <v>32</v>
      </c>
    </row>
    <row r="12" spans="1:20" s="706" customFormat="1">
      <c r="A12" s="500"/>
      <c r="B12" s="711" t="s">
        <v>284</v>
      </c>
      <c r="C12" s="712">
        <f t="shared" ref="C12:P12" si="1">SUM(C6:C11)</f>
        <v>14</v>
      </c>
      <c r="D12" s="712">
        <f t="shared" si="1"/>
        <v>16</v>
      </c>
      <c r="E12" s="712">
        <f t="shared" si="1"/>
        <v>34</v>
      </c>
      <c r="F12" s="712">
        <f t="shared" si="1"/>
        <v>13</v>
      </c>
      <c r="G12" s="712">
        <f t="shared" si="1"/>
        <v>0</v>
      </c>
      <c r="H12" s="712">
        <f t="shared" si="1"/>
        <v>3</v>
      </c>
      <c r="I12" s="712">
        <f t="shared" si="1"/>
        <v>7</v>
      </c>
      <c r="J12" s="712">
        <f t="shared" si="1"/>
        <v>6</v>
      </c>
      <c r="K12" s="712">
        <f t="shared" si="1"/>
        <v>55</v>
      </c>
      <c r="L12" s="712">
        <f t="shared" si="1"/>
        <v>11</v>
      </c>
      <c r="M12" s="712">
        <f t="shared" si="1"/>
        <v>33</v>
      </c>
      <c r="N12" s="712">
        <f t="shared" si="1"/>
        <v>38</v>
      </c>
      <c r="O12" s="712">
        <f t="shared" si="1"/>
        <v>9</v>
      </c>
      <c r="P12" s="712">
        <f t="shared" si="1"/>
        <v>6</v>
      </c>
      <c r="Q12" s="712">
        <f>SUM(Q6:Q11)</f>
        <v>245</v>
      </c>
    </row>
    <row r="13" spans="1:20" s="706" customFormat="1">
      <c r="A13" s="1560" t="s">
        <v>1490</v>
      </c>
      <c r="B13" s="1561"/>
      <c r="C13" s="502"/>
      <c r="D13" s="502"/>
      <c r="E13" s="502"/>
      <c r="F13" s="502"/>
      <c r="G13" s="502"/>
      <c r="H13" s="502"/>
      <c r="I13" s="502"/>
      <c r="J13" s="502"/>
      <c r="K13" s="502"/>
      <c r="L13" s="502"/>
      <c r="M13" s="502"/>
      <c r="N13" s="502"/>
      <c r="O13" s="502"/>
      <c r="P13" s="502"/>
      <c r="Q13" s="502"/>
    </row>
    <row r="14" spans="1:20" s="706" customFormat="1" ht="25.5">
      <c r="A14" s="713">
        <v>1</v>
      </c>
      <c r="B14" s="372" t="s">
        <v>1491</v>
      </c>
      <c r="C14" s="714">
        <v>0</v>
      </c>
      <c r="D14" s="714">
        <v>0</v>
      </c>
      <c r="E14" s="714">
        <v>0</v>
      </c>
      <c r="F14" s="714">
        <v>3</v>
      </c>
      <c r="G14" s="714">
        <v>0</v>
      </c>
      <c r="H14" s="714">
        <v>0</v>
      </c>
      <c r="I14" s="714">
        <v>0</v>
      </c>
      <c r="J14" s="714">
        <v>0</v>
      </c>
      <c r="K14" s="714">
        <v>1</v>
      </c>
      <c r="L14" s="714">
        <v>4</v>
      </c>
      <c r="M14" s="714">
        <v>0</v>
      </c>
      <c r="N14" s="714">
        <v>2</v>
      </c>
      <c r="O14" s="714">
        <v>9</v>
      </c>
      <c r="P14" s="714">
        <v>0</v>
      </c>
      <c r="Q14" s="502">
        <f>SUM(C14:P14)</f>
        <v>19</v>
      </c>
    </row>
    <row r="15" spans="1:20" s="706" customFormat="1" ht="25.5">
      <c r="A15" s="713">
        <f>+A14+1</f>
        <v>2</v>
      </c>
      <c r="B15" s="715" t="s">
        <v>1492</v>
      </c>
      <c r="C15" s="714">
        <v>2</v>
      </c>
      <c r="D15" s="714">
        <v>1</v>
      </c>
      <c r="E15" s="714">
        <v>5</v>
      </c>
      <c r="F15" s="714">
        <v>2</v>
      </c>
      <c r="G15" s="714">
        <v>1</v>
      </c>
      <c r="H15" s="714">
        <v>0</v>
      </c>
      <c r="I15" s="714">
        <v>0</v>
      </c>
      <c r="J15" s="714">
        <v>0</v>
      </c>
      <c r="K15" s="714">
        <v>4</v>
      </c>
      <c r="L15" s="714">
        <v>1</v>
      </c>
      <c r="M15" s="714">
        <v>5</v>
      </c>
      <c r="N15" s="714">
        <v>3</v>
      </c>
      <c r="O15" s="714">
        <v>1</v>
      </c>
      <c r="P15" s="714">
        <v>0</v>
      </c>
      <c r="Q15" s="502">
        <v>25</v>
      </c>
    </row>
    <row r="16" spans="1:20" s="706" customFormat="1" ht="25.5">
      <c r="A16" s="713">
        <f>+A15+1</f>
        <v>3</v>
      </c>
      <c r="B16" s="715" t="s">
        <v>1493</v>
      </c>
      <c r="C16" s="714">
        <v>3</v>
      </c>
      <c r="D16" s="714">
        <v>2</v>
      </c>
      <c r="E16" s="714">
        <v>2</v>
      </c>
      <c r="F16" s="714">
        <v>3</v>
      </c>
      <c r="G16" s="714">
        <v>0</v>
      </c>
      <c r="H16" s="714">
        <v>0</v>
      </c>
      <c r="I16" s="714">
        <v>0</v>
      </c>
      <c r="J16" s="714">
        <v>0</v>
      </c>
      <c r="K16" s="714">
        <v>9</v>
      </c>
      <c r="L16" s="714">
        <v>2</v>
      </c>
      <c r="M16" s="714">
        <v>12</v>
      </c>
      <c r="N16" s="714">
        <v>19</v>
      </c>
      <c r="O16" s="714">
        <v>1</v>
      </c>
      <c r="P16" s="714">
        <v>0</v>
      </c>
      <c r="Q16" s="502">
        <v>53</v>
      </c>
    </row>
    <row r="17" spans="1:17" s="706" customFormat="1" ht="25.5">
      <c r="A17" s="713">
        <f t="shared" ref="A17:A24" si="2">+A16+1</f>
        <v>4</v>
      </c>
      <c r="B17" s="715" t="s">
        <v>1494</v>
      </c>
      <c r="C17" s="714">
        <v>3</v>
      </c>
      <c r="D17" s="714">
        <v>1</v>
      </c>
      <c r="E17" s="714">
        <v>0</v>
      </c>
      <c r="F17" s="714">
        <v>1</v>
      </c>
      <c r="G17" s="714">
        <v>0</v>
      </c>
      <c r="H17" s="714">
        <v>0</v>
      </c>
      <c r="I17" s="714">
        <v>0</v>
      </c>
      <c r="J17" s="714">
        <v>0</v>
      </c>
      <c r="K17" s="714">
        <v>9</v>
      </c>
      <c r="L17" s="714">
        <v>1</v>
      </c>
      <c r="M17" s="714">
        <v>4</v>
      </c>
      <c r="N17" s="714">
        <v>8</v>
      </c>
      <c r="O17" s="714">
        <v>2</v>
      </c>
      <c r="P17" s="714">
        <v>0</v>
      </c>
      <c r="Q17" s="716">
        <v>29</v>
      </c>
    </row>
    <row r="18" spans="1:17" s="706" customFormat="1" ht="25.5">
      <c r="A18" s="713">
        <f t="shared" si="2"/>
        <v>5</v>
      </c>
      <c r="B18" s="715" t="s">
        <v>1495</v>
      </c>
      <c r="C18" s="714">
        <v>6</v>
      </c>
      <c r="D18" s="714">
        <v>4</v>
      </c>
      <c r="E18" s="714">
        <v>11</v>
      </c>
      <c r="F18" s="714">
        <v>8</v>
      </c>
      <c r="G18" s="714">
        <v>0</v>
      </c>
      <c r="H18" s="714">
        <v>4</v>
      </c>
      <c r="I18" s="714">
        <v>0</v>
      </c>
      <c r="J18" s="714">
        <v>1</v>
      </c>
      <c r="K18" s="714">
        <v>17</v>
      </c>
      <c r="L18" s="714">
        <v>2</v>
      </c>
      <c r="M18" s="714">
        <v>14</v>
      </c>
      <c r="N18" s="714">
        <v>13</v>
      </c>
      <c r="O18" s="714">
        <v>5</v>
      </c>
      <c r="P18" s="714">
        <v>0</v>
      </c>
      <c r="Q18" s="502">
        <v>85</v>
      </c>
    </row>
    <row r="19" spans="1:17" s="706" customFormat="1" ht="25.5">
      <c r="A19" s="713">
        <f t="shared" si="2"/>
        <v>6</v>
      </c>
      <c r="B19" s="715" t="s">
        <v>1496</v>
      </c>
      <c r="C19" s="717">
        <v>5</v>
      </c>
      <c r="D19" s="717">
        <v>6</v>
      </c>
      <c r="E19" s="717">
        <v>15</v>
      </c>
      <c r="F19" s="717">
        <v>15</v>
      </c>
      <c r="G19" s="717">
        <v>0</v>
      </c>
      <c r="H19" s="717">
        <v>3</v>
      </c>
      <c r="I19" s="717">
        <v>1</v>
      </c>
      <c r="J19" s="717">
        <v>0</v>
      </c>
      <c r="K19" s="717">
        <v>27</v>
      </c>
      <c r="L19" s="717">
        <v>6</v>
      </c>
      <c r="M19" s="717">
        <v>21</v>
      </c>
      <c r="N19" s="717">
        <v>0</v>
      </c>
      <c r="O19" s="717">
        <v>8</v>
      </c>
      <c r="P19" s="717">
        <v>3</v>
      </c>
      <c r="Q19" s="502">
        <v>110</v>
      </c>
    </row>
    <row r="20" spans="1:17" s="706" customFormat="1" ht="25.5">
      <c r="A20" s="713">
        <f t="shared" si="2"/>
        <v>7</v>
      </c>
      <c r="B20" s="715" t="s">
        <v>1497</v>
      </c>
      <c r="C20" s="714">
        <v>3</v>
      </c>
      <c r="D20" s="714">
        <v>3</v>
      </c>
      <c r="E20" s="714">
        <v>13</v>
      </c>
      <c r="F20" s="714">
        <v>4</v>
      </c>
      <c r="G20" s="714">
        <v>0</v>
      </c>
      <c r="H20" s="714">
        <v>2</v>
      </c>
      <c r="I20" s="714">
        <v>7</v>
      </c>
      <c r="J20" s="714">
        <v>4</v>
      </c>
      <c r="K20" s="714">
        <v>16</v>
      </c>
      <c r="L20" s="714">
        <v>2</v>
      </c>
      <c r="M20" s="714">
        <v>9</v>
      </c>
      <c r="N20" s="714">
        <v>23</v>
      </c>
      <c r="O20" s="714">
        <v>3</v>
      </c>
      <c r="P20" s="714">
        <v>0</v>
      </c>
      <c r="Q20" s="502">
        <v>89</v>
      </c>
    </row>
    <row r="21" spans="1:17" s="706" customFormat="1" ht="25.5">
      <c r="A21" s="713">
        <f t="shared" si="2"/>
        <v>8</v>
      </c>
      <c r="B21" s="715" t="s">
        <v>1498</v>
      </c>
      <c r="C21" s="714">
        <v>8</v>
      </c>
      <c r="D21" s="714">
        <v>5</v>
      </c>
      <c r="E21" s="714">
        <v>8</v>
      </c>
      <c r="F21" s="714">
        <v>7</v>
      </c>
      <c r="G21" s="714">
        <v>0</v>
      </c>
      <c r="H21" s="714">
        <v>2</v>
      </c>
      <c r="I21" s="714">
        <v>9</v>
      </c>
      <c r="J21" s="714">
        <v>5</v>
      </c>
      <c r="K21" s="714">
        <v>16</v>
      </c>
      <c r="L21" s="714">
        <v>3</v>
      </c>
      <c r="M21" s="714">
        <v>5</v>
      </c>
      <c r="N21" s="714">
        <v>12</v>
      </c>
      <c r="O21" s="714">
        <v>11</v>
      </c>
      <c r="P21" s="714">
        <v>2</v>
      </c>
      <c r="Q21" s="502">
        <v>93</v>
      </c>
    </row>
    <row r="22" spans="1:17" s="706" customFormat="1">
      <c r="A22" s="713">
        <f t="shared" si="2"/>
        <v>9</v>
      </c>
      <c r="B22" s="715" t="s">
        <v>1499</v>
      </c>
      <c r="C22" s="718">
        <v>18</v>
      </c>
      <c r="D22" s="718">
        <v>4</v>
      </c>
      <c r="E22" s="718">
        <v>31</v>
      </c>
      <c r="F22" s="718">
        <v>7</v>
      </c>
      <c r="G22" s="718">
        <v>0</v>
      </c>
      <c r="H22" s="718">
        <v>10</v>
      </c>
      <c r="I22" s="718">
        <v>29</v>
      </c>
      <c r="J22" s="718">
        <v>21</v>
      </c>
      <c r="K22" s="718">
        <v>42</v>
      </c>
      <c r="L22" s="718">
        <v>2</v>
      </c>
      <c r="M22" s="718">
        <v>59</v>
      </c>
      <c r="N22" s="718">
        <v>32</v>
      </c>
      <c r="O22" s="718">
        <v>16</v>
      </c>
      <c r="P22" s="718">
        <v>10</v>
      </c>
      <c r="Q22" s="502">
        <v>281</v>
      </c>
    </row>
    <row r="23" spans="1:17" s="706" customFormat="1">
      <c r="A23" s="713">
        <f t="shared" si="2"/>
        <v>10</v>
      </c>
      <c r="B23" s="719" t="s">
        <v>1500</v>
      </c>
      <c r="C23" s="714">
        <v>3</v>
      </c>
      <c r="D23" s="714">
        <v>2</v>
      </c>
      <c r="E23" s="714">
        <v>5</v>
      </c>
      <c r="F23" s="714">
        <v>2</v>
      </c>
      <c r="G23" s="714">
        <v>0</v>
      </c>
      <c r="H23" s="714">
        <v>4</v>
      </c>
      <c r="I23" s="714">
        <v>16</v>
      </c>
      <c r="J23" s="714">
        <v>15</v>
      </c>
      <c r="K23" s="714">
        <v>21</v>
      </c>
      <c r="L23" s="714">
        <v>1</v>
      </c>
      <c r="M23" s="714">
        <v>14</v>
      </c>
      <c r="N23" s="714">
        <v>9</v>
      </c>
      <c r="O23" s="714">
        <v>4</v>
      </c>
      <c r="P23" s="714">
        <v>4</v>
      </c>
      <c r="Q23" s="502">
        <v>100</v>
      </c>
    </row>
    <row r="24" spans="1:17" s="706" customFormat="1">
      <c r="A24" s="713">
        <f t="shared" si="2"/>
        <v>11</v>
      </c>
      <c r="B24" s="715" t="s">
        <v>1501</v>
      </c>
      <c r="C24" s="717">
        <v>7</v>
      </c>
      <c r="D24" s="717">
        <v>3</v>
      </c>
      <c r="E24" s="717">
        <v>20</v>
      </c>
      <c r="F24" s="717">
        <v>3</v>
      </c>
      <c r="G24" s="717">
        <v>0</v>
      </c>
      <c r="H24" s="717">
        <v>4</v>
      </c>
      <c r="I24" s="717">
        <v>8</v>
      </c>
      <c r="J24" s="717">
        <v>8</v>
      </c>
      <c r="K24" s="717">
        <v>13</v>
      </c>
      <c r="L24" s="717">
        <v>0</v>
      </c>
      <c r="M24" s="717">
        <v>15</v>
      </c>
      <c r="N24" s="717">
        <v>12</v>
      </c>
      <c r="O24" s="717">
        <v>12</v>
      </c>
      <c r="P24" s="717">
        <v>4</v>
      </c>
      <c r="Q24" s="502">
        <v>109</v>
      </c>
    </row>
    <row r="25" spans="1:17" s="706" customFormat="1">
      <c r="A25" s="720"/>
      <c r="B25" s="711" t="s">
        <v>284</v>
      </c>
      <c r="C25" s="712">
        <f>SUM(C14:C24)</f>
        <v>58</v>
      </c>
      <c r="D25" s="712">
        <f t="shared" ref="D25:Q25" si="3">SUM(D14:D24)</f>
        <v>31</v>
      </c>
      <c r="E25" s="712">
        <f t="shared" si="3"/>
        <v>110</v>
      </c>
      <c r="F25" s="712">
        <f t="shared" si="3"/>
        <v>55</v>
      </c>
      <c r="G25" s="712">
        <f t="shared" si="3"/>
        <v>1</v>
      </c>
      <c r="H25" s="712">
        <f t="shared" si="3"/>
        <v>29</v>
      </c>
      <c r="I25" s="712">
        <f t="shared" si="3"/>
        <v>70</v>
      </c>
      <c r="J25" s="712">
        <f t="shared" si="3"/>
        <v>54</v>
      </c>
      <c r="K25" s="712">
        <f t="shared" si="3"/>
        <v>175</v>
      </c>
      <c r="L25" s="712">
        <f t="shared" si="3"/>
        <v>24</v>
      </c>
      <c r="M25" s="712">
        <f t="shared" si="3"/>
        <v>158</v>
      </c>
      <c r="N25" s="712">
        <f t="shared" si="3"/>
        <v>133</v>
      </c>
      <c r="O25" s="712">
        <f t="shared" si="3"/>
        <v>72</v>
      </c>
      <c r="P25" s="712">
        <f t="shared" si="3"/>
        <v>23</v>
      </c>
      <c r="Q25" s="712">
        <f t="shared" si="3"/>
        <v>993</v>
      </c>
    </row>
    <row r="26" spans="1:17" s="706" customFormat="1">
      <c r="A26" s="1560" t="s">
        <v>1502</v>
      </c>
      <c r="B26" s="1561"/>
      <c r="C26" s="502"/>
      <c r="D26" s="502"/>
      <c r="E26" s="502"/>
      <c r="F26" s="502"/>
      <c r="G26" s="502"/>
      <c r="H26" s="502"/>
      <c r="I26" s="502"/>
      <c r="J26" s="502"/>
      <c r="K26" s="502"/>
      <c r="L26" s="502"/>
      <c r="M26" s="502"/>
      <c r="N26" s="502"/>
      <c r="O26" s="502"/>
      <c r="P26" s="502"/>
      <c r="Q26" s="502"/>
    </row>
    <row r="27" spans="1:17" s="706" customFormat="1">
      <c r="A27" s="502">
        <v>1</v>
      </c>
      <c r="B27" s="721" t="s">
        <v>1069</v>
      </c>
      <c r="C27" s="708">
        <v>3</v>
      </c>
      <c r="D27" s="502">
        <v>8</v>
      </c>
      <c r="E27" s="502">
        <v>8</v>
      </c>
      <c r="F27" s="502">
        <v>32</v>
      </c>
      <c r="G27" s="502">
        <v>0</v>
      </c>
      <c r="H27" s="502">
        <v>1</v>
      </c>
      <c r="I27" s="502">
        <v>24</v>
      </c>
      <c r="J27" s="502">
        <v>10</v>
      </c>
      <c r="K27" s="502">
        <v>34</v>
      </c>
      <c r="L27" s="502">
        <v>4</v>
      </c>
      <c r="M27" s="502">
        <v>23</v>
      </c>
      <c r="N27" s="502">
        <v>58</v>
      </c>
      <c r="O27" s="502">
        <v>23</v>
      </c>
      <c r="P27" s="502">
        <v>5</v>
      </c>
      <c r="Q27" s="502">
        <f t="shared" si="0"/>
        <v>233</v>
      </c>
    </row>
    <row r="28" spans="1:17" s="706" customFormat="1">
      <c r="A28" s="502">
        <f>+A27+1</f>
        <v>2</v>
      </c>
      <c r="B28" s="721" t="s">
        <v>1077</v>
      </c>
      <c r="C28" s="708">
        <v>11</v>
      </c>
      <c r="D28" s="502">
        <v>5</v>
      </c>
      <c r="E28" s="502">
        <v>7</v>
      </c>
      <c r="F28" s="502">
        <v>16</v>
      </c>
      <c r="G28" s="502">
        <v>1</v>
      </c>
      <c r="H28" s="502">
        <v>6</v>
      </c>
      <c r="I28" s="502">
        <v>14</v>
      </c>
      <c r="J28" s="502">
        <v>6</v>
      </c>
      <c r="K28" s="502">
        <v>23</v>
      </c>
      <c r="L28" s="502">
        <v>2</v>
      </c>
      <c r="M28" s="502">
        <v>13</v>
      </c>
      <c r="N28" s="502">
        <v>35</v>
      </c>
      <c r="O28" s="502">
        <v>17</v>
      </c>
      <c r="P28" s="502">
        <v>6</v>
      </c>
      <c r="Q28" s="502">
        <f t="shared" si="0"/>
        <v>162</v>
      </c>
    </row>
    <row r="29" spans="1:17" s="706" customFormat="1">
      <c r="A29" s="502">
        <f t="shared" ref="A29:A43" si="4">+A28+1</f>
        <v>3</v>
      </c>
      <c r="B29" s="721" t="s">
        <v>1079</v>
      </c>
      <c r="C29" s="708">
        <v>5</v>
      </c>
      <c r="D29" s="502">
        <v>3</v>
      </c>
      <c r="E29" s="502">
        <v>28</v>
      </c>
      <c r="F29" s="502">
        <v>20</v>
      </c>
      <c r="G29" s="502">
        <v>0</v>
      </c>
      <c r="H29" s="502">
        <v>10</v>
      </c>
      <c r="I29" s="502">
        <v>21</v>
      </c>
      <c r="J29" s="502">
        <v>11</v>
      </c>
      <c r="K29" s="502">
        <v>43</v>
      </c>
      <c r="L29" s="502">
        <v>7</v>
      </c>
      <c r="M29" s="502">
        <v>15</v>
      </c>
      <c r="N29" s="502">
        <v>63</v>
      </c>
      <c r="O29" s="502">
        <v>51</v>
      </c>
      <c r="P29" s="502">
        <v>6</v>
      </c>
      <c r="Q29" s="502">
        <f t="shared" si="0"/>
        <v>283</v>
      </c>
    </row>
    <row r="30" spans="1:17" s="706" customFormat="1">
      <c r="A30" s="502">
        <f t="shared" si="4"/>
        <v>4</v>
      </c>
      <c r="B30" s="722" t="s">
        <v>1084</v>
      </c>
      <c r="C30" s="708">
        <v>8</v>
      </c>
      <c r="D30" s="502">
        <v>7</v>
      </c>
      <c r="E30" s="502">
        <v>28</v>
      </c>
      <c r="F30" s="502">
        <v>26</v>
      </c>
      <c r="G30" s="502">
        <v>0</v>
      </c>
      <c r="H30" s="502">
        <v>5</v>
      </c>
      <c r="I30" s="502">
        <v>17</v>
      </c>
      <c r="J30" s="502">
        <v>10</v>
      </c>
      <c r="K30" s="502">
        <v>27</v>
      </c>
      <c r="L30" s="502">
        <v>9</v>
      </c>
      <c r="M30" s="502">
        <v>20</v>
      </c>
      <c r="N30" s="502">
        <v>69</v>
      </c>
      <c r="O30" s="502">
        <v>20</v>
      </c>
      <c r="P30" s="502">
        <v>3</v>
      </c>
      <c r="Q30" s="502">
        <f t="shared" si="0"/>
        <v>249</v>
      </c>
    </row>
    <row r="31" spans="1:17" s="706" customFormat="1">
      <c r="A31" s="502">
        <f t="shared" si="4"/>
        <v>5</v>
      </c>
      <c r="B31" s="722" t="s">
        <v>1503</v>
      </c>
      <c r="C31" s="708">
        <v>3</v>
      </c>
      <c r="D31" s="502">
        <v>5</v>
      </c>
      <c r="E31" s="502">
        <v>7</v>
      </c>
      <c r="F31" s="502">
        <v>7</v>
      </c>
      <c r="G31" s="502">
        <v>0</v>
      </c>
      <c r="H31" s="502">
        <v>1</v>
      </c>
      <c r="I31" s="502">
        <v>3</v>
      </c>
      <c r="J31" s="502">
        <v>1</v>
      </c>
      <c r="K31" s="502">
        <v>16</v>
      </c>
      <c r="L31" s="502">
        <v>1</v>
      </c>
      <c r="M31" s="502">
        <v>7</v>
      </c>
      <c r="N31" s="502">
        <v>17</v>
      </c>
      <c r="O31" s="502">
        <v>5</v>
      </c>
      <c r="P31" s="502">
        <v>2</v>
      </c>
      <c r="Q31" s="502">
        <f t="shared" si="0"/>
        <v>75</v>
      </c>
    </row>
    <row r="32" spans="1:17" s="706" customFormat="1">
      <c r="A32" s="502">
        <f t="shared" si="4"/>
        <v>6</v>
      </c>
      <c r="B32" s="722" t="s">
        <v>1101</v>
      </c>
      <c r="C32" s="708">
        <v>7</v>
      </c>
      <c r="D32" s="502">
        <v>4</v>
      </c>
      <c r="E32" s="502">
        <v>20</v>
      </c>
      <c r="F32" s="502">
        <v>21</v>
      </c>
      <c r="G32" s="502">
        <v>1</v>
      </c>
      <c r="H32" s="502">
        <v>5</v>
      </c>
      <c r="I32" s="502">
        <v>3</v>
      </c>
      <c r="J32" s="502">
        <v>7</v>
      </c>
      <c r="K32" s="502">
        <v>21</v>
      </c>
      <c r="L32" s="502">
        <v>3</v>
      </c>
      <c r="M32" s="502">
        <v>15</v>
      </c>
      <c r="N32" s="502">
        <v>35</v>
      </c>
      <c r="O32" s="502">
        <v>25</v>
      </c>
      <c r="P32" s="502">
        <v>7</v>
      </c>
      <c r="Q32" s="502">
        <f t="shared" si="0"/>
        <v>174</v>
      </c>
    </row>
    <row r="33" spans="1:17" s="706" customFormat="1">
      <c r="A33" s="502">
        <f t="shared" si="4"/>
        <v>7</v>
      </c>
      <c r="B33" s="722" t="s">
        <v>1106</v>
      </c>
      <c r="C33" s="708">
        <v>21</v>
      </c>
      <c r="D33" s="502">
        <v>5</v>
      </c>
      <c r="E33" s="502">
        <v>24</v>
      </c>
      <c r="F33" s="502">
        <v>17</v>
      </c>
      <c r="G33" s="502">
        <v>1</v>
      </c>
      <c r="H33" s="502">
        <v>4</v>
      </c>
      <c r="I33" s="502">
        <v>16</v>
      </c>
      <c r="J33" s="502">
        <v>15</v>
      </c>
      <c r="K33" s="502">
        <v>25</v>
      </c>
      <c r="L33" s="502">
        <v>4</v>
      </c>
      <c r="M33" s="502">
        <v>17</v>
      </c>
      <c r="N33" s="502">
        <v>29</v>
      </c>
      <c r="O33" s="502">
        <v>19</v>
      </c>
      <c r="P33" s="502">
        <v>19</v>
      </c>
      <c r="Q33" s="502">
        <f t="shared" si="0"/>
        <v>216</v>
      </c>
    </row>
    <row r="34" spans="1:17" s="706" customFormat="1">
      <c r="A34" s="502">
        <f t="shared" si="4"/>
        <v>8</v>
      </c>
      <c r="B34" s="722" t="s">
        <v>1112</v>
      </c>
      <c r="C34" s="708">
        <v>4</v>
      </c>
      <c r="D34" s="502">
        <v>5</v>
      </c>
      <c r="E34" s="502">
        <v>20</v>
      </c>
      <c r="F34" s="502">
        <v>18</v>
      </c>
      <c r="G34" s="502">
        <v>0</v>
      </c>
      <c r="H34" s="502">
        <v>3</v>
      </c>
      <c r="I34" s="502">
        <v>6</v>
      </c>
      <c r="J34" s="502">
        <v>4</v>
      </c>
      <c r="K34" s="502">
        <v>25</v>
      </c>
      <c r="L34" s="502">
        <v>3</v>
      </c>
      <c r="M34" s="502">
        <v>14</v>
      </c>
      <c r="N34" s="502">
        <v>35</v>
      </c>
      <c r="O34" s="502">
        <v>8</v>
      </c>
      <c r="P34" s="502">
        <v>5</v>
      </c>
      <c r="Q34" s="502">
        <f t="shared" si="0"/>
        <v>150</v>
      </c>
    </row>
    <row r="35" spans="1:17" s="706" customFormat="1">
      <c r="A35" s="502">
        <f t="shared" si="4"/>
        <v>9</v>
      </c>
      <c r="B35" s="722" t="s">
        <v>1118</v>
      </c>
      <c r="C35" s="708">
        <v>8</v>
      </c>
      <c r="D35" s="502">
        <v>5</v>
      </c>
      <c r="E35" s="502">
        <v>14</v>
      </c>
      <c r="F35" s="502">
        <v>9</v>
      </c>
      <c r="G35" s="502">
        <v>1</v>
      </c>
      <c r="H35" s="502">
        <v>5</v>
      </c>
      <c r="I35" s="502">
        <v>7</v>
      </c>
      <c r="J35" s="502">
        <v>7</v>
      </c>
      <c r="K35" s="502">
        <v>21</v>
      </c>
      <c r="L35" s="502">
        <v>4</v>
      </c>
      <c r="M35" s="502">
        <v>10</v>
      </c>
      <c r="N35" s="502">
        <v>32</v>
      </c>
      <c r="O35" s="502">
        <v>15</v>
      </c>
      <c r="P35" s="502">
        <v>7</v>
      </c>
      <c r="Q35" s="502">
        <f t="shared" si="0"/>
        <v>145</v>
      </c>
    </row>
    <row r="36" spans="1:17" s="706" customFormat="1">
      <c r="A36" s="502">
        <f t="shared" si="4"/>
        <v>10</v>
      </c>
      <c r="B36" s="722" t="s">
        <v>1132</v>
      </c>
      <c r="C36" s="708">
        <v>7</v>
      </c>
      <c r="D36" s="502">
        <v>7</v>
      </c>
      <c r="E36" s="502">
        <v>12</v>
      </c>
      <c r="F36" s="502">
        <v>26</v>
      </c>
      <c r="G36" s="502">
        <v>1</v>
      </c>
      <c r="H36" s="502">
        <v>3</v>
      </c>
      <c r="I36" s="502">
        <v>15</v>
      </c>
      <c r="J36" s="502">
        <v>7</v>
      </c>
      <c r="K36" s="502">
        <v>27</v>
      </c>
      <c r="L36" s="502">
        <v>6</v>
      </c>
      <c r="M36" s="502">
        <v>16</v>
      </c>
      <c r="N36" s="502">
        <v>38</v>
      </c>
      <c r="O36" s="502">
        <v>29</v>
      </c>
      <c r="P36" s="502">
        <v>5</v>
      </c>
      <c r="Q36" s="502">
        <f t="shared" si="0"/>
        <v>199</v>
      </c>
    </row>
    <row r="37" spans="1:17" s="706" customFormat="1">
      <c r="A37" s="502">
        <f t="shared" si="4"/>
        <v>11</v>
      </c>
      <c r="B37" s="722" t="s">
        <v>1145</v>
      </c>
      <c r="C37" s="708">
        <v>7</v>
      </c>
      <c r="D37" s="502">
        <v>6</v>
      </c>
      <c r="E37" s="502">
        <v>24</v>
      </c>
      <c r="F37" s="502">
        <v>9</v>
      </c>
      <c r="G37" s="502">
        <v>1</v>
      </c>
      <c r="H37" s="502">
        <v>5</v>
      </c>
      <c r="I37" s="502">
        <v>9</v>
      </c>
      <c r="J37" s="502">
        <v>8</v>
      </c>
      <c r="K37" s="502">
        <v>30</v>
      </c>
      <c r="L37" s="502">
        <v>7</v>
      </c>
      <c r="M37" s="502">
        <v>18</v>
      </c>
      <c r="N37" s="502">
        <v>62</v>
      </c>
      <c r="O37" s="502">
        <v>17</v>
      </c>
      <c r="P37" s="502">
        <v>5</v>
      </c>
      <c r="Q37" s="502">
        <f t="shared" si="0"/>
        <v>208</v>
      </c>
    </row>
    <row r="38" spans="1:17" s="706" customFormat="1">
      <c r="A38" s="502">
        <f t="shared" si="4"/>
        <v>12</v>
      </c>
      <c r="B38" s="715" t="s">
        <v>1137</v>
      </c>
      <c r="C38" s="716">
        <v>12</v>
      </c>
      <c r="D38" s="723">
        <v>4</v>
      </c>
      <c r="E38" s="723">
        <v>10</v>
      </c>
      <c r="F38" s="723">
        <v>8</v>
      </c>
      <c r="G38" s="723">
        <v>0</v>
      </c>
      <c r="H38" s="723">
        <v>3</v>
      </c>
      <c r="I38" s="723">
        <v>6</v>
      </c>
      <c r="J38" s="723">
        <v>3</v>
      </c>
      <c r="K38" s="723">
        <v>23</v>
      </c>
      <c r="L38" s="723">
        <v>4</v>
      </c>
      <c r="M38" s="723">
        <v>17</v>
      </c>
      <c r="N38" s="723">
        <v>28</v>
      </c>
      <c r="O38" s="723">
        <v>13</v>
      </c>
      <c r="P38" s="723">
        <v>3</v>
      </c>
      <c r="Q38" s="723">
        <f t="shared" si="0"/>
        <v>134</v>
      </c>
    </row>
    <row r="39" spans="1:17" s="706" customFormat="1">
      <c r="A39" s="502">
        <f t="shared" si="4"/>
        <v>13</v>
      </c>
      <c r="B39" s="722" t="s">
        <v>1150</v>
      </c>
      <c r="C39" s="708">
        <v>4</v>
      </c>
      <c r="D39" s="502">
        <v>10</v>
      </c>
      <c r="E39" s="502">
        <v>12</v>
      </c>
      <c r="F39" s="502">
        <v>27</v>
      </c>
      <c r="G39" s="502">
        <v>0</v>
      </c>
      <c r="H39" s="502">
        <v>3</v>
      </c>
      <c r="I39" s="502">
        <v>24</v>
      </c>
      <c r="J39" s="502">
        <v>5</v>
      </c>
      <c r="K39" s="502">
        <v>22</v>
      </c>
      <c r="L39" s="502">
        <v>2</v>
      </c>
      <c r="M39" s="502">
        <v>12</v>
      </c>
      <c r="N39" s="502">
        <v>45</v>
      </c>
      <c r="O39" s="502">
        <v>5</v>
      </c>
      <c r="P39" s="502">
        <v>4</v>
      </c>
      <c r="Q39" s="502">
        <f t="shared" si="0"/>
        <v>175</v>
      </c>
    </row>
    <row r="40" spans="1:17" s="706" customFormat="1">
      <c r="A40" s="502">
        <f t="shared" si="4"/>
        <v>14</v>
      </c>
      <c r="B40" s="722" t="s">
        <v>1156</v>
      </c>
      <c r="C40" s="708">
        <v>8</v>
      </c>
      <c r="D40" s="502">
        <v>3</v>
      </c>
      <c r="E40" s="502">
        <v>18</v>
      </c>
      <c r="F40" s="502">
        <v>26</v>
      </c>
      <c r="G40" s="502">
        <v>1</v>
      </c>
      <c r="H40" s="502">
        <v>3</v>
      </c>
      <c r="I40" s="502">
        <v>20</v>
      </c>
      <c r="J40" s="502">
        <v>4</v>
      </c>
      <c r="K40" s="502">
        <v>19</v>
      </c>
      <c r="L40" s="502">
        <v>5</v>
      </c>
      <c r="M40" s="502">
        <v>13</v>
      </c>
      <c r="N40" s="502">
        <v>33</v>
      </c>
      <c r="O40" s="502">
        <v>26</v>
      </c>
      <c r="P40" s="502">
        <v>6</v>
      </c>
      <c r="Q40" s="502">
        <f t="shared" si="0"/>
        <v>185</v>
      </c>
    </row>
    <row r="41" spans="1:17" s="706" customFormat="1">
      <c r="A41" s="502">
        <f t="shared" si="4"/>
        <v>15</v>
      </c>
      <c r="B41" s="724" t="s">
        <v>1168</v>
      </c>
      <c r="C41" s="725">
        <v>2</v>
      </c>
      <c r="D41" s="705">
        <v>5</v>
      </c>
      <c r="E41" s="705">
        <v>4</v>
      </c>
      <c r="F41" s="705">
        <v>9</v>
      </c>
      <c r="G41" s="705">
        <v>0</v>
      </c>
      <c r="H41" s="705">
        <v>4</v>
      </c>
      <c r="I41" s="705">
        <v>5</v>
      </c>
      <c r="J41" s="705">
        <v>3</v>
      </c>
      <c r="K41" s="705">
        <v>14</v>
      </c>
      <c r="L41" s="705">
        <v>1</v>
      </c>
      <c r="M41" s="705">
        <v>8</v>
      </c>
      <c r="N41" s="705">
        <v>3</v>
      </c>
      <c r="O41" s="705">
        <v>5</v>
      </c>
      <c r="P41" s="705">
        <v>4</v>
      </c>
      <c r="Q41" s="705">
        <f t="shared" si="0"/>
        <v>67</v>
      </c>
    </row>
    <row r="42" spans="1:17" s="706" customFormat="1">
      <c r="A42" s="502">
        <f t="shared" si="4"/>
        <v>16</v>
      </c>
      <c r="B42" s="722" t="s">
        <v>1181</v>
      </c>
      <c r="C42" s="708">
        <v>11</v>
      </c>
      <c r="D42" s="502">
        <v>6</v>
      </c>
      <c r="E42" s="502">
        <v>7</v>
      </c>
      <c r="F42" s="502">
        <v>19</v>
      </c>
      <c r="G42" s="502">
        <v>0</v>
      </c>
      <c r="H42" s="502">
        <v>4</v>
      </c>
      <c r="I42" s="502">
        <v>11</v>
      </c>
      <c r="J42" s="502">
        <v>8</v>
      </c>
      <c r="K42" s="502">
        <v>36</v>
      </c>
      <c r="L42" s="502">
        <v>9</v>
      </c>
      <c r="M42" s="502">
        <v>12</v>
      </c>
      <c r="N42" s="502">
        <v>49</v>
      </c>
      <c r="O42" s="502">
        <v>28</v>
      </c>
      <c r="P42" s="502">
        <v>11</v>
      </c>
      <c r="Q42" s="502">
        <f t="shared" si="0"/>
        <v>211</v>
      </c>
    </row>
    <row r="43" spans="1:17" s="706" customFormat="1">
      <c r="A43" s="502">
        <f t="shared" si="4"/>
        <v>17</v>
      </c>
      <c r="B43" s="722" t="s">
        <v>1177</v>
      </c>
      <c r="C43" s="502">
        <v>9</v>
      </c>
      <c r="D43" s="502">
        <v>5</v>
      </c>
      <c r="E43" s="502">
        <v>15</v>
      </c>
      <c r="F43" s="502">
        <v>29</v>
      </c>
      <c r="G43" s="502">
        <v>1</v>
      </c>
      <c r="H43" s="502">
        <v>4</v>
      </c>
      <c r="I43" s="502">
        <v>27</v>
      </c>
      <c r="J43" s="502">
        <v>6</v>
      </c>
      <c r="K43" s="502">
        <v>25</v>
      </c>
      <c r="L43" s="502">
        <v>3</v>
      </c>
      <c r="M43" s="502">
        <v>13</v>
      </c>
      <c r="N43" s="502">
        <v>42</v>
      </c>
      <c r="O43" s="502">
        <v>36</v>
      </c>
      <c r="P43" s="502">
        <v>5</v>
      </c>
      <c r="Q43" s="502">
        <f t="shared" si="0"/>
        <v>220</v>
      </c>
    </row>
    <row r="44" spans="1:17" s="706" customFormat="1">
      <c r="A44" s="573"/>
      <c r="B44" s="711" t="s">
        <v>284</v>
      </c>
      <c r="C44" s="712">
        <f>SUM(C27:C43)</f>
        <v>130</v>
      </c>
      <c r="D44" s="712">
        <f t="shared" ref="D44:Q44" si="5">SUM(D27:D43)</f>
        <v>93</v>
      </c>
      <c r="E44" s="712">
        <f t="shared" si="5"/>
        <v>258</v>
      </c>
      <c r="F44" s="712">
        <f t="shared" si="5"/>
        <v>319</v>
      </c>
      <c r="G44" s="712">
        <f t="shared" si="5"/>
        <v>8</v>
      </c>
      <c r="H44" s="712">
        <f t="shared" si="5"/>
        <v>69</v>
      </c>
      <c r="I44" s="712">
        <f t="shared" si="5"/>
        <v>228</v>
      </c>
      <c r="J44" s="712">
        <f t="shared" si="5"/>
        <v>115</v>
      </c>
      <c r="K44" s="712">
        <f t="shared" si="5"/>
        <v>431</v>
      </c>
      <c r="L44" s="712">
        <f t="shared" si="5"/>
        <v>74</v>
      </c>
      <c r="M44" s="712">
        <f t="shared" si="5"/>
        <v>243</v>
      </c>
      <c r="N44" s="712">
        <f t="shared" si="5"/>
        <v>673</v>
      </c>
      <c r="O44" s="712">
        <f t="shared" si="5"/>
        <v>342</v>
      </c>
      <c r="P44" s="712">
        <f t="shared" si="5"/>
        <v>103</v>
      </c>
      <c r="Q44" s="712">
        <f t="shared" si="5"/>
        <v>3086</v>
      </c>
    </row>
    <row r="45" spans="1:17" s="706" customFormat="1">
      <c r="A45" s="726"/>
      <c r="B45" s="726" t="s">
        <v>343</v>
      </c>
      <c r="C45" s="727">
        <f>+C12+C25+C44</f>
        <v>202</v>
      </c>
      <c r="D45" s="727">
        <f t="shared" ref="D45:Q45" si="6">+D12+D25+D44</f>
        <v>140</v>
      </c>
      <c r="E45" s="727">
        <f t="shared" si="6"/>
        <v>402</v>
      </c>
      <c r="F45" s="727">
        <f t="shared" si="6"/>
        <v>387</v>
      </c>
      <c r="G45" s="727">
        <f t="shared" si="6"/>
        <v>9</v>
      </c>
      <c r="H45" s="727">
        <f t="shared" si="6"/>
        <v>101</v>
      </c>
      <c r="I45" s="727">
        <f t="shared" si="6"/>
        <v>305</v>
      </c>
      <c r="J45" s="727">
        <f t="shared" si="6"/>
        <v>175</v>
      </c>
      <c r="K45" s="727">
        <f t="shared" si="6"/>
        <v>661</v>
      </c>
      <c r="L45" s="727">
        <f t="shared" si="6"/>
        <v>109</v>
      </c>
      <c r="M45" s="727">
        <f t="shared" si="6"/>
        <v>434</v>
      </c>
      <c r="N45" s="727">
        <f t="shared" si="6"/>
        <v>844</v>
      </c>
      <c r="O45" s="727">
        <f t="shared" si="6"/>
        <v>423</v>
      </c>
      <c r="P45" s="727">
        <f t="shared" si="6"/>
        <v>132</v>
      </c>
      <c r="Q45" s="727">
        <f t="shared" si="6"/>
        <v>4324</v>
      </c>
    </row>
    <row r="48" spans="1:17">
      <c r="B48" s="580" t="s">
        <v>1504</v>
      </c>
    </row>
    <row r="49" spans="2:2">
      <c r="B49" s="580" t="s">
        <v>1505</v>
      </c>
    </row>
  </sheetData>
  <mergeCells count="8">
    <mergeCell ref="A13:B13"/>
    <mergeCell ref="A26:B26"/>
    <mergeCell ref="A1:Q1"/>
    <mergeCell ref="A3:A4"/>
    <mergeCell ref="B3:B4"/>
    <mergeCell ref="C3:P3"/>
    <mergeCell ref="Q3:Q4"/>
    <mergeCell ref="A5:B5"/>
  </mergeCells>
  <hyperlinks>
    <hyperlink ref="B9" r:id="rId1" display="http://dermatologycenter.gov.mn/"/>
    <hyperlink ref="T6" r:id="rId2" display="http://www.nczd.moh.gov.mn/"/>
    <hyperlink ref="B10" r:id="rId3" display="http://www.gerontology.moh.mn/"/>
    <hyperlink ref="T7" r:id="rId4" display="http://www.emgegsudlal.mn/"/>
    <hyperlink ref="B11" r:id="rId5" display="http://pnc.mn/"/>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5"/>
  <sheetViews>
    <sheetView workbookViewId="0">
      <selection activeCell="G15" sqref="G15"/>
    </sheetView>
  </sheetViews>
  <sheetFormatPr defaultRowHeight="14.25"/>
  <cols>
    <col min="1" max="1" width="32.5703125" style="580" customWidth="1"/>
    <col min="2" max="2" width="10" style="580" customWidth="1"/>
    <col min="3" max="3" width="13.85546875" style="580" customWidth="1"/>
    <col min="4" max="4" width="13.5703125" style="580" customWidth="1"/>
    <col min="5" max="5" width="15.28515625" style="580" bestFit="1" customWidth="1"/>
    <col min="6" max="6" width="19.5703125" style="580" bestFit="1" customWidth="1"/>
    <col min="7" max="10" width="9.140625" style="580"/>
    <col min="11" max="11" width="15.7109375" style="580" bestFit="1" customWidth="1"/>
    <col min="12" max="16384" width="9.140625" style="580"/>
  </cols>
  <sheetData>
    <row r="3" spans="1:5" ht="15">
      <c r="A3" s="1568" t="s">
        <v>1506</v>
      </c>
      <c r="B3" s="1568"/>
      <c r="C3" s="1568"/>
      <c r="D3" s="1568"/>
      <c r="E3" s="1568"/>
    </row>
    <row r="5" spans="1:5">
      <c r="A5" s="580" t="s">
        <v>1507</v>
      </c>
      <c r="C5" s="728"/>
    </row>
    <row r="6" spans="1:5">
      <c r="C6" s="728"/>
    </row>
    <row r="7" spans="1:5" ht="28.5">
      <c r="A7" s="579"/>
      <c r="B7" s="579" t="s">
        <v>1508</v>
      </c>
      <c r="C7" s="501" t="s">
        <v>1509</v>
      </c>
      <c r="D7" s="579" t="s">
        <v>1510</v>
      </c>
      <c r="E7" s="579" t="s">
        <v>1511</v>
      </c>
    </row>
    <row r="8" spans="1:5">
      <c r="A8" s="95" t="s">
        <v>1512</v>
      </c>
      <c r="B8" s="729">
        <v>365</v>
      </c>
      <c r="C8" s="729">
        <v>4</v>
      </c>
      <c r="D8" s="729">
        <f>+B8*C8</f>
        <v>1460</v>
      </c>
      <c r="E8" s="22">
        <f>+D8*8</f>
        <v>11680</v>
      </c>
    </row>
    <row r="9" spans="1:5">
      <c r="A9" s="730" t="s">
        <v>1513</v>
      </c>
      <c r="B9" s="729">
        <v>252</v>
      </c>
      <c r="C9" s="729">
        <v>4</v>
      </c>
      <c r="D9" s="729">
        <f t="shared" ref="D9:D11" si="0">+B9*C9</f>
        <v>1008</v>
      </c>
      <c r="E9" s="22">
        <f t="shared" ref="E9:E12" si="1">+D9*8</f>
        <v>8064</v>
      </c>
    </row>
    <row r="10" spans="1:5" ht="28.5">
      <c r="A10" s="730" t="s">
        <v>1514</v>
      </c>
      <c r="B10" s="729">
        <f>(19+19+19+22)/4</f>
        <v>19.75</v>
      </c>
      <c r="C10" s="729">
        <v>4</v>
      </c>
      <c r="D10" s="729">
        <f t="shared" si="0"/>
        <v>79</v>
      </c>
      <c r="E10" s="22">
        <f t="shared" si="1"/>
        <v>632</v>
      </c>
    </row>
    <row r="11" spans="1:5" ht="85.5">
      <c r="A11" s="730" t="s">
        <v>1515</v>
      </c>
      <c r="B11" s="729">
        <v>45</v>
      </c>
      <c r="C11" s="729">
        <v>4</v>
      </c>
      <c r="D11" s="729">
        <f t="shared" si="0"/>
        <v>180</v>
      </c>
      <c r="E11" s="22">
        <f t="shared" si="1"/>
        <v>1440</v>
      </c>
    </row>
    <row r="12" spans="1:5">
      <c r="A12" s="22"/>
      <c r="B12" s="731">
        <f>+B9-B10-B11</f>
        <v>187.25</v>
      </c>
      <c r="C12" s="729">
        <v>4</v>
      </c>
      <c r="D12" s="731">
        <f>+D9-D10-D11</f>
        <v>749</v>
      </c>
      <c r="E12" s="22">
        <f t="shared" si="1"/>
        <v>5992</v>
      </c>
    </row>
    <row r="16" spans="1:5">
      <c r="A16" s="732" t="s">
        <v>1516</v>
      </c>
      <c r="B16" s="732">
        <v>5992</v>
      </c>
    </row>
    <row r="17" spans="1:6" ht="28.5">
      <c r="A17" s="732" t="s">
        <v>1517</v>
      </c>
      <c r="B17" s="732">
        <v>2</v>
      </c>
    </row>
    <row r="18" spans="1:6">
      <c r="A18" s="732"/>
      <c r="B18" s="732"/>
      <c r="F18" s="733"/>
    </row>
    <row r="19" spans="1:6">
      <c r="A19" s="732"/>
      <c r="B19" s="732"/>
    </row>
    <row r="20" spans="1:6">
      <c r="A20" s="732"/>
      <c r="B20" s="732"/>
    </row>
    <row r="22" spans="1:6" ht="42.75">
      <c r="A22" s="734"/>
      <c r="B22" s="501" t="s">
        <v>1518</v>
      </c>
      <c r="C22" s="501" t="s">
        <v>1519</v>
      </c>
      <c r="D22" s="501" t="s">
        <v>1520</v>
      </c>
    </row>
    <row r="23" spans="1:6">
      <c r="A23" s="95" t="s">
        <v>1521</v>
      </c>
      <c r="B23" s="95">
        <f>5992*50%</f>
        <v>2996</v>
      </c>
      <c r="C23" s="95">
        <f>5992*60%</f>
        <v>3595.2</v>
      </c>
      <c r="D23" s="95">
        <f>5992*40%</f>
        <v>2396.8000000000002</v>
      </c>
    </row>
    <row r="24" spans="1:6" ht="42.75">
      <c r="A24" s="95" t="s">
        <v>1522</v>
      </c>
      <c r="B24" s="734">
        <f>+B23/2</f>
        <v>1498</v>
      </c>
      <c r="C24" s="734">
        <f t="shared" ref="C24:D24" si="2">+C23/2</f>
        <v>1797.6</v>
      </c>
      <c r="D24" s="734">
        <f t="shared" si="2"/>
        <v>1198.4000000000001</v>
      </c>
    </row>
    <row r="25" spans="1:6" ht="28.5">
      <c r="A25" s="735" t="s">
        <v>1523</v>
      </c>
      <c r="B25" s="22">
        <f>+B24/4</f>
        <v>374.5</v>
      </c>
      <c r="C25" s="22">
        <f t="shared" ref="C25:D25" si="3">+C24/4</f>
        <v>449.4</v>
      </c>
      <c r="D25" s="22">
        <f t="shared" si="3"/>
        <v>299.60000000000002</v>
      </c>
    </row>
  </sheetData>
  <mergeCells count="1">
    <mergeCell ref="A3:E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E24" sqref="E24"/>
    </sheetView>
  </sheetViews>
  <sheetFormatPr defaultRowHeight="14.25"/>
  <cols>
    <col min="1" max="1" width="3.42578125" style="580" customWidth="1"/>
    <col min="2" max="2" width="31.42578125" style="580" customWidth="1"/>
    <col min="3" max="3" width="12.28515625" style="580" customWidth="1"/>
    <col min="4" max="4" width="14.42578125" style="747" customWidth="1"/>
    <col min="5" max="5" width="17.7109375" style="747" customWidth="1"/>
    <col min="6" max="7" width="13.7109375" style="747" customWidth="1"/>
    <col min="8" max="8" width="15" style="747" customWidth="1"/>
    <col min="9" max="13" width="13.7109375" style="747" customWidth="1"/>
    <col min="14" max="14" width="15.85546875" style="747" customWidth="1"/>
    <col min="15" max="17" width="15.28515625" style="580" customWidth="1"/>
    <col min="18" max="16384" width="9.140625" style="580"/>
  </cols>
  <sheetData>
    <row r="1" spans="1:14" ht="15.75">
      <c r="A1" s="1569" t="s">
        <v>1524</v>
      </c>
      <c r="B1" s="1569"/>
      <c r="C1" s="1569"/>
      <c r="D1" s="1569"/>
      <c r="E1" s="1569"/>
      <c r="F1" s="1569"/>
      <c r="G1" s="1569"/>
      <c r="H1" s="1569"/>
      <c r="I1" s="736"/>
      <c r="J1" s="736"/>
      <c r="K1" s="736"/>
      <c r="L1" s="736"/>
      <c r="M1" s="736"/>
      <c r="N1" s="736"/>
    </row>
    <row r="2" spans="1:14" ht="15.75">
      <c r="A2" s="737"/>
      <c r="B2" s="703"/>
      <c r="C2" s="703"/>
      <c r="D2" s="738"/>
      <c r="E2" s="738"/>
      <c r="F2" s="738"/>
      <c r="G2" s="738"/>
      <c r="H2" s="738"/>
      <c r="I2" s="738"/>
      <c r="J2" s="738"/>
      <c r="K2" s="738"/>
      <c r="L2" s="738"/>
      <c r="M2" s="738"/>
      <c r="N2" s="738"/>
    </row>
    <row r="4" spans="1:14">
      <c r="A4" s="1570" t="s">
        <v>1</v>
      </c>
      <c r="B4" s="1570" t="s">
        <v>1525</v>
      </c>
      <c r="C4" s="1316" t="s">
        <v>1526</v>
      </c>
      <c r="D4" s="1316"/>
      <c r="E4" s="1316"/>
      <c r="F4" s="1316" t="s">
        <v>1527</v>
      </c>
      <c r="G4" s="1316"/>
      <c r="H4" s="1316"/>
      <c r="I4" s="1316" t="s">
        <v>1528</v>
      </c>
      <c r="J4" s="1316"/>
      <c r="K4" s="1316"/>
      <c r="L4" s="1316" t="s">
        <v>1529</v>
      </c>
      <c r="M4" s="1316"/>
      <c r="N4" s="1316"/>
    </row>
    <row r="5" spans="1:14">
      <c r="A5" s="1571"/>
      <c r="B5" s="1571"/>
      <c r="C5" s="375" t="s">
        <v>1530</v>
      </c>
      <c r="D5" s="375" t="s">
        <v>1531</v>
      </c>
      <c r="E5" s="375" t="s">
        <v>174</v>
      </c>
      <c r="F5" s="375" t="s">
        <v>1530</v>
      </c>
      <c r="G5" s="375" t="s">
        <v>1531</v>
      </c>
      <c r="H5" s="375" t="s">
        <v>174</v>
      </c>
      <c r="I5" s="375" t="s">
        <v>1530</v>
      </c>
      <c r="J5" s="375" t="s">
        <v>1531</v>
      </c>
      <c r="K5" s="375" t="s">
        <v>174</v>
      </c>
      <c r="L5" s="375" t="s">
        <v>1530</v>
      </c>
      <c r="M5" s="375" t="s">
        <v>1531</v>
      </c>
      <c r="N5" s="375" t="s">
        <v>174</v>
      </c>
    </row>
    <row r="6" spans="1:14">
      <c r="A6" s="22">
        <v>1</v>
      </c>
      <c r="B6" s="739" t="s">
        <v>1466</v>
      </c>
      <c r="C6" s="502">
        <v>202</v>
      </c>
      <c r="D6" s="289">
        <v>75000</v>
      </c>
      <c r="E6" s="289">
        <f>+C6*D6</f>
        <v>15150000</v>
      </c>
      <c r="F6" s="740">
        <f>+L6*50/60</f>
        <v>66.666666666666671</v>
      </c>
      <c r="G6" s="289">
        <v>75000</v>
      </c>
      <c r="H6" s="741">
        <f>+F6*G6</f>
        <v>5000000</v>
      </c>
      <c r="I6" s="740">
        <f t="shared" ref="I6:I19" si="0">+F6*40/50</f>
        <v>53.333333333333343</v>
      </c>
      <c r="J6" s="289">
        <v>75000</v>
      </c>
      <c r="K6" s="741">
        <f>+I6*J6</f>
        <v>4000000.0000000009</v>
      </c>
      <c r="L6" s="740">
        <v>80</v>
      </c>
      <c r="M6" s="289">
        <v>75000</v>
      </c>
      <c r="N6" s="741">
        <f>+L6*M6</f>
        <v>6000000</v>
      </c>
    </row>
    <row r="7" spans="1:14">
      <c r="A7" s="22">
        <f>+A6+1</f>
        <v>2</v>
      </c>
      <c r="B7" s="739" t="s">
        <v>1467</v>
      </c>
      <c r="C7" s="502">
        <v>140</v>
      </c>
      <c r="D7" s="289">
        <v>60000</v>
      </c>
      <c r="E7" s="289">
        <f t="shared" ref="E7:E19" si="1">+C7*D7</f>
        <v>8400000</v>
      </c>
      <c r="F7" s="740">
        <f t="shared" ref="F7:F19" si="2">+L7*50/60</f>
        <v>66.666666666666671</v>
      </c>
      <c r="G7" s="289">
        <v>60000</v>
      </c>
      <c r="H7" s="741">
        <f t="shared" ref="H7:H19" si="3">+F7*G7</f>
        <v>4000000.0000000005</v>
      </c>
      <c r="I7" s="740">
        <f t="shared" si="0"/>
        <v>53.333333333333343</v>
      </c>
      <c r="J7" s="289">
        <v>60000</v>
      </c>
      <c r="K7" s="741">
        <f t="shared" ref="K7:K19" si="4">+I7*J7</f>
        <v>3200000.0000000005</v>
      </c>
      <c r="L7" s="740">
        <v>80</v>
      </c>
      <c r="M7" s="289">
        <v>60000</v>
      </c>
      <c r="N7" s="741">
        <f t="shared" ref="N7:N19" si="5">+L7*M7</f>
        <v>4800000</v>
      </c>
    </row>
    <row r="8" spans="1:14">
      <c r="A8" s="22">
        <f t="shared" ref="A8:A19" si="6">+A7+1</f>
        <v>3</v>
      </c>
      <c r="B8" s="739" t="s">
        <v>1468</v>
      </c>
      <c r="C8" s="502">
        <v>402</v>
      </c>
      <c r="D8" s="289">
        <v>56000</v>
      </c>
      <c r="E8" s="289">
        <f t="shared" si="1"/>
        <v>22512000</v>
      </c>
      <c r="F8" s="740">
        <f t="shared" si="2"/>
        <v>83.333333333333329</v>
      </c>
      <c r="G8" s="289">
        <v>56000</v>
      </c>
      <c r="H8" s="741">
        <f t="shared" si="3"/>
        <v>4666666.666666666</v>
      </c>
      <c r="I8" s="740">
        <f t="shared" si="0"/>
        <v>66.666666666666657</v>
      </c>
      <c r="J8" s="289">
        <v>56000</v>
      </c>
      <c r="K8" s="741">
        <f t="shared" si="4"/>
        <v>3733333.333333333</v>
      </c>
      <c r="L8" s="740">
        <v>100</v>
      </c>
      <c r="M8" s="289">
        <v>56000</v>
      </c>
      <c r="N8" s="741">
        <f t="shared" si="5"/>
        <v>5600000</v>
      </c>
    </row>
    <row r="9" spans="1:14" ht="25.5">
      <c r="A9" s="22">
        <f t="shared" si="6"/>
        <v>4</v>
      </c>
      <c r="B9" s="739" t="s">
        <v>1469</v>
      </c>
      <c r="C9" s="502">
        <v>387</v>
      </c>
      <c r="D9" s="289">
        <v>55000</v>
      </c>
      <c r="E9" s="289">
        <f t="shared" si="1"/>
        <v>21285000</v>
      </c>
      <c r="F9" s="740">
        <f t="shared" si="2"/>
        <v>125</v>
      </c>
      <c r="G9" s="289">
        <v>55000</v>
      </c>
      <c r="H9" s="741">
        <f t="shared" si="3"/>
        <v>6875000</v>
      </c>
      <c r="I9" s="740">
        <f t="shared" si="0"/>
        <v>100</v>
      </c>
      <c r="J9" s="289">
        <v>55000</v>
      </c>
      <c r="K9" s="741">
        <f t="shared" si="4"/>
        <v>5500000</v>
      </c>
      <c r="L9" s="740">
        <v>150</v>
      </c>
      <c r="M9" s="289">
        <v>55000</v>
      </c>
      <c r="N9" s="741">
        <f t="shared" si="5"/>
        <v>8250000</v>
      </c>
    </row>
    <row r="10" spans="1:14">
      <c r="A10" s="22">
        <f t="shared" si="6"/>
        <v>5</v>
      </c>
      <c r="B10" s="739" t="s">
        <v>1470</v>
      </c>
      <c r="C10" s="502">
        <v>9</v>
      </c>
      <c r="D10" s="289">
        <v>90000</v>
      </c>
      <c r="E10" s="289">
        <f t="shared" si="1"/>
        <v>810000</v>
      </c>
      <c r="F10" s="740">
        <f t="shared" si="2"/>
        <v>5.833333333333333</v>
      </c>
      <c r="G10" s="289">
        <v>90000</v>
      </c>
      <c r="H10" s="741">
        <f t="shared" si="3"/>
        <v>525000</v>
      </c>
      <c r="I10" s="740">
        <f t="shared" si="0"/>
        <v>4.6666666666666661</v>
      </c>
      <c r="J10" s="289">
        <v>90000</v>
      </c>
      <c r="K10" s="741">
        <f t="shared" si="4"/>
        <v>419999.99999999994</v>
      </c>
      <c r="L10" s="740">
        <v>7</v>
      </c>
      <c r="M10" s="289">
        <v>90000</v>
      </c>
      <c r="N10" s="741">
        <f t="shared" si="5"/>
        <v>630000</v>
      </c>
    </row>
    <row r="11" spans="1:14">
      <c r="A11" s="22">
        <f t="shared" si="6"/>
        <v>6</v>
      </c>
      <c r="B11" s="739" t="s">
        <v>1471</v>
      </c>
      <c r="C11" s="502">
        <v>101</v>
      </c>
      <c r="D11" s="289">
        <v>100000</v>
      </c>
      <c r="E11" s="289">
        <f t="shared" si="1"/>
        <v>10100000</v>
      </c>
      <c r="F11" s="740">
        <f t="shared" si="2"/>
        <v>41.666666666666664</v>
      </c>
      <c r="G11" s="289">
        <v>100000</v>
      </c>
      <c r="H11" s="741">
        <f t="shared" si="3"/>
        <v>4166666.6666666665</v>
      </c>
      <c r="I11" s="740">
        <f t="shared" si="0"/>
        <v>33.333333333333329</v>
      </c>
      <c r="J11" s="289">
        <v>100000</v>
      </c>
      <c r="K11" s="741">
        <f t="shared" si="4"/>
        <v>3333333.333333333</v>
      </c>
      <c r="L11" s="740">
        <v>50</v>
      </c>
      <c r="M11" s="289">
        <v>100000</v>
      </c>
      <c r="N11" s="741">
        <f t="shared" si="5"/>
        <v>5000000</v>
      </c>
    </row>
    <row r="12" spans="1:14">
      <c r="A12" s="22">
        <f t="shared" si="6"/>
        <v>7</v>
      </c>
      <c r="B12" s="739" t="s">
        <v>1472</v>
      </c>
      <c r="C12" s="502">
        <v>305</v>
      </c>
      <c r="D12" s="289">
        <v>51000</v>
      </c>
      <c r="E12" s="289">
        <f t="shared" si="1"/>
        <v>15555000</v>
      </c>
      <c r="F12" s="740">
        <f t="shared" si="2"/>
        <v>66.666666666666671</v>
      </c>
      <c r="G12" s="289">
        <v>51000</v>
      </c>
      <c r="H12" s="741">
        <f t="shared" si="3"/>
        <v>3400000.0000000005</v>
      </c>
      <c r="I12" s="740">
        <f t="shared" si="0"/>
        <v>53.333333333333343</v>
      </c>
      <c r="J12" s="289">
        <v>51000</v>
      </c>
      <c r="K12" s="741">
        <f t="shared" si="4"/>
        <v>2720000.0000000005</v>
      </c>
      <c r="L12" s="740">
        <v>80</v>
      </c>
      <c r="M12" s="289">
        <v>51000</v>
      </c>
      <c r="N12" s="741">
        <f t="shared" si="5"/>
        <v>4080000</v>
      </c>
    </row>
    <row r="13" spans="1:14">
      <c r="A13" s="22">
        <f t="shared" si="6"/>
        <v>8</v>
      </c>
      <c r="B13" s="739" t="s">
        <v>1473</v>
      </c>
      <c r="C13" s="502">
        <v>175</v>
      </c>
      <c r="D13" s="289">
        <v>84000</v>
      </c>
      <c r="E13" s="289">
        <f t="shared" si="1"/>
        <v>14700000</v>
      </c>
      <c r="F13" s="740">
        <f t="shared" si="2"/>
        <v>100</v>
      </c>
      <c r="G13" s="289">
        <v>84000</v>
      </c>
      <c r="H13" s="741">
        <f t="shared" si="3"/>
        <v>8400000</v>
      </c>
      <c r="I13" s="740">
        <f t="shared" si="0"/>
        <v>80</v>
      </c>
      <c r="J13" s="289">
        <v>84000</v>
      </c>
      <c r="K13" s="741">
        <f t="shared" si="4"/>
        <v>6720000</v>
      </c>
      <c r="L13" s="740">
        <v>120</v>
      </c>
      <c r="M13" s="289">
        <v>84000</v>
      </c>
      <c r="N13" s="741">
        <f t="shared" si="5"/>
        <v>10080000</v>
      </c>
    </row>
    <row r="14" spans="1:14">
      <c r="A14" s="22">
        <f t="shared" si="6"/>
        <v>9</v>
      </c>
      <c r="B14" s="739" t="s">
        <v>1474</v>
      </c>
      <c r="C14" s="502">
        <v>661</v>
      </c>
      <c r="D14" s="289">
        <v>51000</v>
      </c>
      <c r="E14" s="289">
        <f t="shared" si="1"/>
        <v>33711000</v>
      </c>
      <c r="F14" s="740">
        <f t="shared" si="2"/>
        <v>333.33333333333331</v>
      </c>
      <c r="G14" s="289">
        <v>51000</v>
      </c>
      <c r="H14" s="741">
        <f t="shared" si="3"/>
        <v>17000000</v>
      </c>
      <c r="I14" s="740">
        <f t="shared" si="0"/>
        <v>266.66666666666663</v>
      </c>
      <c r="J14" s="289">
        <v>51000</v>
      </c>
      <c r="K14" s="741">
        <f t="shared" si="4"/>
        <v>13599999.999999998</v>
      </c>
      <c r="L14" s="740">
        <v>400</v>
      </c>
      <c r="M14" s="289">
        <v>51000</v>
      </c>
      <c r="N14" s="741">
        <f t="shared" si="5"/>
        <v>20400000</v>
      </c>
    </row>
    <row r="15" spans="1:14">
      <c r="A15" s="22">
        <f t="shared" si="6"/>
        <v>10</v>
      </c>
      <c r="B15" s="739" t="s">
        <v>1475</v>
      </c>
      <c r="C15" s="502">
        <v>109</v>
      </c>
      <c r="D15" s="289">
        <v>90000</v>
      </c>
      <c r="E15" s="289">
        <f t="shared" si="1"/>
        <v>9810000</v>
      </c>
      <c r="F15" s="740">
        <f t="shared" si="2"/>
        <v>41.666666666666664</v>
      </c>
      <c r="G15" s="289">
        <v>90000</v>
      </c>
      <c r="H15" s="741">
        <f t="shared" si="3"/>
        <v>3750000</v>
      </c>
      <c r="I15" s="740">
        <f t="shared" si="0"/>
        <v>33.333333333333329</v>
      </c>
      <c r="J15" s="289">
        <v>90000</v>
      </c>
      <c r="K15" s="741">
        <f t="shared" si="4"/>
        <v>2999999.9999999995</v>
      </c>
      <c r="L15" s="740">
        <v>50</v>
      </c>
      <c r="M15" s="289">
        <v>90000</v>
      </c>
      <c r="N15" s="741">
        <f t="shared" si="5"/>
        <v>4500000</v>
      </c>
    </row>
    <row r="16" spans="1:14">
      <c r="A16" s="22">
        <f t="shared" si="6"/>
        <v>11</v>
      </c>
      <c r="B16" s="739" t="s">
        <v>1476</v>
      </c>
      <c r="C16" s="502">
        <v>434</v>
      </c>
      <c r="D16" s="289">
        <v>61000</v>
      </c>
      <c r="E16" s="289">
        <f t="shared" si="1"/>
        <v>26474000</v>
      </c>
      <c r="F16" s="740">
        <f t="shared" si="2"/>
        <v>83.333333333333329</v>
      </c>
      <c r="G16" s="289">
        <v>61000</v>
      </c>
      <c r="H16" s="741">
        <f t="shared" si="3"/>
        <v>5083333.333333333</v>
      </c>
      <c r="I16" s="740">
        <f t="shared" si="0"/>
        <v>66.666666666666657</v>
      </c>
      <c r="J16" s="289">
        <v>61000</v>
      </c>
      <c r="K16" s="741">
        <f t="shared" si="4"/>
        <v>4066666.666666666</v>
      </c>
      <c r="L16" s="740">
        <v>100</v>
      </c>
      <c r="M16" s="289">
        <v>61000</v>
      </c>
      <c r="N16" s="741">
        <f t="shared" si="5"/>
        <v>6100000</v>
      </c>
    </row>
    <row r="17" spans="1:14">
      <c r="A17" s="22">
        <f t="shared" si="6"/>
        <v>12</v>
      </c>
      <c r="B17" s="739" t="s">
        <v>1477</v>
      </c>
      <c r="C17" s="502">
        <v>844</v>
      </c>
      <c r="D17" s="289">
        <v>30000</v>
      </c>
      <c r="E17" s="289">
        <f t="shared" si="1"/>
        <v>25320000</v>
      </c>
      <c r="F17" s="740">
        <f t="shared" si="2"/>
        <v>375</v>
      </c>
      <c r="G17" s="289">
        <v>30000</v>
      </c>
      <c r="H17" s="741">
        <f t="shared" si="3"/>
        <v>11250000</v>
      </c>
      <c r="I17" s="740">
        <f t="shared" si="0"/>
        <v>300</v>
      </c>
      <c r="J17" s="289">
        <v>30000</v>
      </c>
      <c r="K17" s="741">
        <f t="shared" si="4"/>
        <v>9000000</v>
      </c>
      <c r="L17" s="740">
        <v>450</v>
      </c>
      <c r="M17" s="289">
        <v>30000</v>
      </c>
      <c r="N17" s="741">
        <f t="shared" si="5"/>
        <v>13500000</v>
      </c>
    </row>
    <row r="18" spans="1:14">
      <c r="A18" s="22">
        <f t="shared" si="6"/>
        <v>13</v>
      </c>
      <c r="B18" s="739" t="s">
        <v>1478</v>
      </c>
      <c r="C18" s="502">
        <v>423</v>
      </c>
      <c r="D18" s="289">
        <v>15000</v>
      </c>
      <c r="E18" s="289">
        <f t="shared" si="1"/>
        <v>6345000</v>
      </c>
      <c r="F18" s="740">
        <f t="shared" si="2"/>
        <v>66.666666666666671</v>
      </c>
      <c r="G18" s="289">
        <v>15000</v>
      </c>
      <c r="H18" s="741">
        <f t="shared" si="3"/>
        <v>1000000.0000000001</v>
      </c>
      <c r="I18" s="740">
        <f t="shared" si="0"/>
        <v>53.333333333333343</v>
      </c>
      <c r="J18" s="289">
        <v>15000</v>
      </c>
      <c r="K18" s="741">
        <f t="shared" si="4"/>
        <v>800000.00000000012</v>
      </c>
      <c r="L18" s="740">
        <v>80</v>
      </c>
      <c r="M18" s="289">
        <v>15000</v>
      </c>
      <c r="N18" s="741">
        <f t="shared" si="5"/>
        <v>1200000</v>
      </c>
    </row>
    <row r="19" spans="1:14">
      <c r="A19" s="22">
        <f t="shared" si="6"/>
        <v>14</v>
      </c>
      <c r="B19" s="739" t="s">
        <v>1479</v>
      </c>
      <c r="C19" s="502">
        <v>132</v>
      </c>
      <c r="D19" s="289">
        <v>55000</v>
      </c>
      <c r="E19" s="289">
        <f t="shared" si="1"/>
        <v>7260000</v>
      </c>
      <c r="F19" s="740">
        <f t="shared" si="2"/>
        <v>41.666666666666664</v>
      </c>
      <c r="G19" s="289">
        <v>55000</v>
      </c>
      <c r="H19" s="741">
        <f t="shared" si="3"/>
        <v>2291666.6666666665</v>
      </c>
      <c r="I19" s="740">
        <f t="shared" si="0"/>
        <v>33.333333333333329</v>
      </c>
      <c r="J19" s="289">
        <v>55000</v>
      </c>
      <c r="K19" s="741">
        <f t="shared" si="4"/>
        <v>1833333.333333333</v>
      </c>
      <c r="L19" s="740">
        <v>50</v>
      </c>
      <c r="M19" s="289">
        <v>55000</v>
      </c>
      <c r="N19" s="741">
        <f t="shared" si="5"/>
        <v>2750000</v>
      </c>
    </row>
    <row r="20" spans="1:14" s="747" customFormat="1" ht="12.75">
      <c r="A20" s="742"/>
      <c r="B20" s="743" t="s">
        <v>390</v>
      </c>
      <c r="C20" s="744">
        <f>SUM(C6:C19)</f>
        <v>4324</v>
      </c>
      <c r="D20" s="499"/>
      <c r="E20" s="745">
        <f>SUM(E6:E19)</f>
        <v>217432000</v>
      </c>
      <c r="F20" s="746">
        <f>SUM(F6:F19)</f>
        <v>1497.5000000000002</v>
      </c>
      <c r="G20" s="499"/>
      <c r="H20" s="745">
        <f>SUM(H6:H19)</f>
        <v>77408333.333333328</v>
      </c>
      <c r="I20" s="746">
        <f>SUM(I6:I19)</f>
        <v>1198</v>
      </c>
      <c r="J20" s="499"/>
      <c r="K20" s="745">
        <f>SUM(K6:K19)</f>
        <v>61926666.666666664</v>
      </c>
      <c r="L20" s="744">
        <f>SUM(L6:L19)</f>
        <v>1797</v>
      </c>
      <c r="M20" s="499"/>
      <c r="N20" s="745">
        <f>SUM(N6:N19)</f>
        <v>92890000</v>
      </c>
    </row>
  </sheetData>
  <mergeCells count="7">
    <mergeCell ref="L4:N4"/>
    <mergeCell ref="A1:H1"/>
    <mergeCell ref="A4:A5"/>
    <mergeCell ref="B4:B5"/>
    <mergeCell ref="C4:E4"/>
    <mergeCell ref="F4:H4"/>
    <mergeCell ref="I4:K4"/>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workbookViewId="0">
      <selection activeCell="O17" sqref="O17"/>
    </sheetView>
  </sheetViews>
  <sheetFormatPr defaultRowHeight="14.25"/>
  <cols>
    <col min="1" max="1" width="13.5703125" style="753" customWidth="1"/>
    <col min="2" max="2" width="16.85546875" style="753" customWidth="1"/>
    <col min="3" max="3" width="10.28515625" style="766" bestFit="1" customWidth="1"/>
    <col min="4" max="4" width="10.140625" style="767" bestFit="1" customWidth="1"/>
    <col min="5" max="5" width="12" style="767" customWidth="1"/>
    <col min="6" max="6" width="9.5703125" style="766" bestFit="1" customWidth="1"/>
    <col min="7" max="7" width="9.5703125" style="767" bestFit="1" customWidth="1"/>
    <col min="8" max="8" width="11.7109375" style="767" customWidth="1"/>
    <col min="9" max="9" width="8.85546875" style="766" bestFit="1" customWidth="1"/>
    <col min="10" max="10" width="12" style="767" bestFit="1" customWidth="1"/>
    <col min="11" max="11" width="11.7109375" style="767" bestFit="1" customWidth="1"/>
    <col min="12" max="12" width="12.5703125" style="767" bestFit="1" customWidth="1"/>
    <col min="13" max="13" width="9.140625" style="753"/>
    <col min="23" max="16384" width="9.140625" style="753"/>
  </cols>
  <sheetData>
    <row r="1" spans="1:22">
      <c r="A1" s="748"/>
      <c r="B1" s="749"/>
      <c r="C1" s="750"/>
      <c r="D1" s="751"/>
      <c r="E1" s="752"/>
      <c r="F1" s="750"/>
      <c r="G1" s="751"/>
      <c r="H1" s="752"/>
      <c r="I1" s="750"/>
      <c r="J1" s="751"/>
      <c r="K1" s="752"/>
      <c r="L1" s="752"/>
    </row>
    <row r="2" spans="1:22" ht="15" customHeight="1">
      <c r="A2" s="1584" t="s">
        <v>1532</v>
      </c>
      <c r="B2" s="1584"/>
      <c r="C2" s="1584"/>
      <c r="D2" s="1584"/>
      <c r="E2" s="1584"/>
      <c r="F2" s="1584"/>
      <c r="G2" s="1584"/>
      <c r="H2" s="1584"/>
      <c r="I2" s="1584"/>
      <c r="J2" s="1584"/>
      <c r="K2" s="1584"/>
      <c r="L2" s="1584"/>
    </row>
    <row r="3" spans="1:22" ht="15" customHeight="1">
      <c r="A3" s="754"/>
      <c r="B3" s="754"/>
      <c r="C3" s="755"/>
      <c r="D3" s="756"/>
      <c r="E3" s="756"/>
      <c r="F3" s="755"/>
      <c r="G3" s="756"/>
      <c r="H3" s="756"/>
      <c r="I3" s="755"/>
      <c r="J3" s="756"/>
      <c r="K3" s="756"/>
      <c r="L3" s="757"/>
    </row>
    <row r="4" spans="1:22" ht="22.5" customHeight="1">
      <c r="A4" s="1592" t="s">
        <v>834</v>
      </c>
      <c r="B4" s="1592" t="s">
        <v>835</v>
      </c>
      <c r="C4" s="1347" t="s">
        <v>1533</v>
      </c>
      <c r="D4" s="1594"/>
      <c r="E4" s="1595"/>
      <c r="F4" s="1347" t="s">
        <v>837</v>
      </c>
      <c r="G4" s="1594"/>
      <c r="H4" s="1595"/>
      <c r="I4" s="1347" t="s">
        <v>838</v>
      </c>
      <c r="J4" s="1594"/>
      <c r="K4" s="1595"/>
      <c r="L4" s="1596" t="s">
        <v>174</v>
      </c>
    </row>
    <row r="5" spans="1:22" ht="33" customHeight="1">
      <c r="A5" s="1593"/>
      <c r="B5" s="1593"/>
      <c r="C5" s="758" t="s">
        <v>839</v>
      </c>
      <c r="D5" s="759" t="s">
        <v>840</v>
      </c>
      <c r="E5" s="759" t="s">
        <v>433</v>
      </c>
      <c r="F5" s="758" t="s">
        <v>841</v>
      </c>
      <c r="G5" s="759" t="s">
        <v>842</v>
      </c>
      <c r="H5" s="759" t="s">
        <v>433</v>
      </c>
      <c r="I5" s="758" t="s">
        <v>843</v>
      </c>
      <c r="J5" s="759" t="s">
        <v>844</v>
      </c>
      <c r="K5" s="759" t="s">
        <v>433</v>
      </c>
      <c r="L5" s="1597"/>
    </row>
    <row r="6" spans="1:22" ht="22.5">
      <c r="A6" s="1576" t="s">
        <v>845</v>
      </c>
      <c r="B6" s="237" t="s">
        <v>1534</v>
      </c>
      <c r="C6" s="760">
        <v>30</v>
      </c>
      <c r="D6" s="761">
        <v>100000</v>
      </c>
      <c r="E6" s="759">
        <f t="shared" ref="E6:E12" si="0">+C6*D6</f>
        <v>3000000</v>
      </c>
      <c r="F6" s="1577">
        <v>400</v>
      </c>
      <c r="G6" s="1591">
        <v>90000</v>
      </c>
      <c r="H6" s="1587">
        <f>F6*G6</f>
        <v>36000000</v>
      </c>
      <c r="I6" s="1577">
        <v>300</v>
      </c>
      <c r="J6" s="1591">
        <v>50000</v>
      </c>
      <c r="K6" s="1587">
        <f>+I6*J6</f>
        <v>15000000</v>
      </c>
      <c r="L6" s="1588">
        <f>E6+E7+E8+H6+K6</f>
        <v>81500000</v>
      </c>
    </row>
    <row r="7" spans="1:22" ht="33.75">
      <c r="A7" s="1576"/>
      <c r="B7" s="237" t="s">
        <v>1535</v>
      </c>
      <c r="C7" s="760">
        <v>50</v>
      </c>
      <c r="D7" s="761">
        <v>50000</v>
      </c>
      <c r="E7" s="759">
        <f t="shared" si="0"/>
        <v>2500000</v>
      </c>
      <c r="F7" s="1577"/>
      <c r="G7" s="1591"/>
      <c r="H7" s="1587"/>
      <c r="I7" s="1577"/>
      <c r="J7" s="1591"/>
      <c r="K7" s="1587"/>
      <c r="L7" s="1589"/>
    </row>
    <row r="8" spans="1:22">
      <c r="A8" s="1576"/>
      <c r="B8" s="237" t="s">
        <v>848</v>
      </c>
      <c r="C8" s="760">
        <v>250</v>
      </c>
      <c r="D8" s="761">
        <v>100000</v>
      </c>
      <c r="E8" s="759">
        <f t="shared" si="0"/>
        <v>25000000</v>
      </c>
      <c r="F8" s="1577"/>
      <c r="G8" s="1591"/>
      <c r="H8" s="1587"/>
      <c r="I8" s="1577"/>
      <c r="J8" s="1591"/>
      <c r="K8" s="1587"/>
      <c r="L8" s="1590"/>
    </row>
    <row r="9" spans="1:22">
      <c r="A9" s="762" t="s">
        <v>850</v>
      </c>
      <c r="B9" s="763" t="s">
        <v>850</v>
      </c>
      <c r="C9" s="764">
        <v>30</v>
      </c>
      <c r="D9" s="761">
        <v>100000</v>
      </c>
      <c r="E9" s="759">
        <f t="shared" si="0"/>
        <v>3000000</v>
      </c>
      <c r="F9" s="760">
        <v>40</v>
      </c>
      <c r="G9" s="761">
        <v>90000</v>
      </c>
      <c r="H9" s="759">
        <f>F9*G9</f>
        <v>3600000</v>
      </c>
      <c r="I9" s="760">
        <v>0</v>
      </c>
      <c r="J9" s="761">
        <v>50000</v>
      </c>
      <c r="K9" s="759">
        <f>+I9*J9</f>
        <v>0</v>
      </c>
      <c r="L9" s="759">
        <f>E9+H9</f>
        <v>6600000</v>
      </c>
    </row>
    <row r="10" spans="1:22">
      <c r="A10" s="762" t="s">
        <v>851</v>
      </c>
      <c r="B10" s="237" t="s">
        <v>851</v>
      </c>
      <c r="C10" s="760">
        <v>250</v>
      </c>
      <c r="D10" s="761">
        <v>50000</v>
      </c>
      <c r="E10" s="759">
        <f t="shared" si="0"/>
        <v>12500000</v>
      </c>
      <c r="F10" s="760">
        <v>80</v>
      </c>
      <c r="G10" s="761">
        <v>45000</v>
      </c>
      <c r="H10" s="759">
        <f>F10*G10</f>
        <v>3600000</v>
      </c>
      <c r="I10" s="760">
        <v>0</v>
      </c>
      <c r="J10" s="761">
        <v>50000</v>
      </c>
      <c r="K10" s="759">
        <f>I10*J10</f>
        <v>0</v>
      </c>
      <c r="L10" s="759">
        <f>E10+H10</f>
        <v>16100000</v>
      </c>
    </row>
    <row r="11" spans="1:22" ht="22.5">
      <c r="A11" s="1576" t="s">
        <v>852</v>
      </c>
      <c r="B11" s="237" t="s">
        <v>1536</v>
      </c>
      <c r="C11" s="760">
        <v>30</v>
      </c>
      <c r="D11" s="761">
        <v>100000</v>
      </c>
      <c r="E11" s="759">
        <f t="shared" si="0"/>
        <v>3000000</v>
      </c>
      <c r="F11" s="1577">
        <v>50</v>
      </c>
      <c r="G11" s="1591">
        <v>90000</v>
      </c>
      <c r="H11" s="1587">
        <f>F11*G11</f>
        <v>4500000</v>
      </c>
      <c r="I11" s="1577">
        <v>80</v>
      </c>
      <c r="J11" s="1591">
        <v>50000</v>
      </c>
      <c r="K11" s="1587">
        <f>+I11*J11</f>
        <v>4000000</v>
      </c>
      <c r="L11" s="1587">
        <f>E11+E12+H11+K11</f>
        <v>26500000</v>
      </c>
    </row>
    <row r="12" spans="1:22">
      <c r="A12" s="1576"/>
      <c r="B12" s="237" t="s">
        <v>854</v>
      </c>
      <c r="C12" s="760">
        <v>150</v>
      </c>
      <c r="D12" s="761">
        <v>100000</v>
      </c>
      <c r="E12" s="759">
        <f t="shared" si="0"/>
        <v>15000000</v>
      </c>
      <c r="F12" s="1577"/>
      <c r="G12" s="1591"/>
      <c r="H12" s="1587"/>
      <c r="I12" s="1577"/>
      <c r="J12" s="1591"/>
      <c r="K12" s="1587"/>
      <c r="L12" s="1587"/>
    </row>
    <row r="13" spans="1:22">
      <c r="A13" s="762" t="s">
        <v>450</v>
      </c>
      <c r="B13" s="237"/>
      <c r="C13" s="765">
        <f>SUM(C6:C12)</f>
        <v>790</v>
      </c>
      <c r="D13" s="761"/>
      <c r="E13" s="759">
        <f>+SUM(E6:E12)</f>
        <v>64000000</v>
      </c>
      <c r="F13" s="765">
        <f>SUM(F6:F12)</f>
        <v>570</v>
      </c>
      <c r="G13" s="761">
        <f>+SUM(G6:G12)</f>
        <v>315000</v>
      </c>
      <c r="H13" s="759">
        <f>SUM(H6:H12)</f>
        <v>47700000</v>
      </c>
      <c r="I13" s="765">
        <f>SUM(I6:I12)</f>
        <v>380</v>
      </c>
      <c r="J13" s="761">
        <f>+SUM(J6:J12)</f>
        <v>200000</v>
      </c>
      <c r="K13" s="759">
        <f>+SUM(K6:K12)</f>
        <v>19000000</v>
      </c>
      <c r="L13" s="759">
        <f>SUM(L6:L12)</f>
        <v>130700000</v>
      </c>
    </row>
    <row r="15" spans="1:22" ht="11.25" customHeight="1">
      <c r="N15" s="753"/>
      <c r="O15" s="753"/>
      <c r="P15" s="753"/>
      <c r="Q15" s="753"/>
      <c r="R15" s="753"/>
      <c r="S15" s="753"/>
      <c r="T15" s="753"/>
      <c r="U15" s="753"/>
      <c r="V15" s="753"/>
    </row>
    <row r="16" spans="1:22" ht="11.25" customHeight="1">
      <c r="N16" s="753"/>
      <c r="O16" s="753"/>
      <c r="P16" s="753"/>
      <c r="Q16" s="753"/>
      <c r="R16" s="753"/>
      <c r="S16" s="753"/>
      <c r="T16" s="753"/>
      <c r="U16" s="753"/>
      <c r="V16" s="753"/>
    </row>
    <row r="17" spans="1:12" s="768" customFormat="1">
      <c r="A17" s="1584" t="s">
        <v>1537</v>
      </c>
      <c r="B17" s="1584"/>
      <c r="C17" s="1584"/>
      <c r="D17" s="1584"/>
      <c r="E17" s="1584"/>
      <c r="F17" s="1584"/>
      <c r="G17" s="1584"/>
      <c r="H17" s="1584"/>
      <c r="I17" s="1584"/>
      <c r="J17" s="1584"/>
      <c r="K17" s="1584"/>
      <c r="L17" s="1584"/>
    </row>
    <row r="18" spans="1:12" s="768" customFormat="1">
      <c r="A18" s="748"/>
      <c r="B18" s="748"/>
      <c r="C18" s="748"/>
      <c r="D18" s="769"/>
      <c r="E18" s="769"/>
      <c r="F18" s="748"/>
      <c r="G18" s="769"/>
      <c r="H18" s="769"/>
      <c r="I18" s="748"/>
      <c r="J18" s="769"/>
      <c r="K18" s="769"/>
      <c r="L18" s="769" t="s">
        <v>1446</v>
      </c>
    </row>
    <row r="19" spans="1:12" s="768" customFormat="1">
      <c r="A19" s="1576" t="s">
        <v>834</v>
      </c>
      <c r="B19" s="1576" t="s">
        <v>835</v>
      </c>
      <c r="C19" s="1576" t="s">
        <v>836</v>
      </c>
      <c r="D19" s="1576"/>
      <c r="E19" s="1576"/>
      <c r="F19" s="1576" t="s">
        <v>837</v>
      </c>
      <c r="G19" s="1576"/>
      <c r="H19" s="1576"/>
      <c r="I19" s="1576" t="s">
        <v>838</v>
      </c>
      <c r="J19" s="1576"/>
      <c r="K19" s="1576"/>
      <c r="L19" s="1585" t="s">
        <v>156</v>
      </c>
    </row>
    <row r="20" spans="1:12" s="768" customFormat="1" ht="45">
      <c r="A20" s="1576"/>
      <c r="B20" s="1576"/>
      <c r="C20" s="762" t="s">
        <v>839</v>
      </c>
      <c r="D20" s="770" t="s">
        <v>1538</v>
      </c>
      <c r="E20" s="770" t="s">
        <v>433</v>
      </c>
      <c r="F20" s="762" t="s">
        <v>841</v>
      </c>
      <c r="G20" s="770" t="s">
        <v>842</v>
      </c>
      <c r="H20" s="770" t="s">
        <v>433</v>
      </c>
      <c r="I20" s="762" t="s">
        <v>843</v>
      </c>
      <c r="J20" s="770" t="s">
        <v>844</v>
      </c>
      <c r="K20" s="770" t="s">
        <v>433</v>
      </c>
      <c r="L20" s="1586"/>
    </row>
    <row r="21" spans="1:12" s="768" customFormat="1" ht="22.5">
      <c r="A21" s="1576" t="s">
        <v>845</v>
      </c>
      <c r="B21" s="237" t="s">
        <v>1534</v>
      </c>
      <c r="C21" s="771">
        <v>30</v>
      </c>
      <c r="D21" s="772">
        <v>400000</v>
      </c>
      <c r="E21" s="770">
        <f t="shared" ref="E21:E27" si="1">+C21*D21</f>
        <v>12000000</v>
      </c>
      <c r="F21" s="1578">
        <v>100</v>
      </c>
      <c r="G21" s="1580">
        <v>250000</v>
      </c>
      <c r="H21" s="1582">
        <f>F21*G21</f>
        <v>25000000</v>
      </c>
      <c r="I21" s="1577">
        <v>300</v>
      </c>
      <c r="J21" s="1575">
        <v>300000</v>
      </c>
      <c r="K21" s="1574">
        <f>I21*J21</f>
        <v>90000000</v>
      </c>
      <c r="L21" s="1575">
        <f>E21+E22+E23+H21+H23+K21</f>
        <v>547000000</v>
      </c>
    </row>
    <row r="22" spans="1:12" s="768" customFormat="1" ht="33.75">
      <c r="A22" s="1576"/>
      <c r="B22" s="237" t="s">
        <v>1535</v>
      </c>
      <c r="C22" s="771">
        <v>50</v>
      </c>
      <c r="D22" s="772">
        <v>800000</v>
      </c>
      <c r="E22" s="770">
        <f t="shared" si="1"/>
        <v>40000000</v>
      </c>
      <c r="F22" s="1579"/>
      <c r="G22" s="1581"/>
      <c r="H22" s="1583"/>
      <c r="I22" s="1577"/>
      <c r="J22" s="1575"/>
      <c r="K22" s="1574"/>
      <c r="L22" s="1575"/>
    </row>
    <row r="23" spans="1:12" s="768" customFormat="1">
      <c r="A23" s="1576"/>
      <c r="B23" s="237" t="s">
        <v>848</v>
      </c>
      <c r="C23" s="771">
        <v>250</v>
      </c>
      <c r="D23" s="772">
        <v>800000</v>
      </c>
      <c r="E23" s="770">
        <f t="shared" si="1"/>
        <v>200000000</v>
      </c>
      <c r="F23" s="771">
        <v>300</v>
      </c>
      <c r="G23" s="772">
        <v>600000</v>
      </c>
      <c r="H23" s="770">
        <f>F23*G23</f>
        <v>180000000</v>
      </c>
      <c r="I23" s="1577"/>
      <c r="J23" s="1575"/>
      <c r="K23" s="1574"/>
      <c r="L23" s="1575"/>
    </row>
    <row r="24" spans="1:12" s="768" customFormat="1">
      <c r="A24" s="762" t="s">
        <v>850</v>
      </c>
      <c r="B24" s="763" t="s">
        <v>850</v>
      </c>
      <c r="C24" s="773">
        <v>30</v>
      </c>
      <c r="D24" s="772">
        <v>500000</v>
      </c>
      <c r="E24" s="770">
        <f t="shared" si="1"/>
        <v>15000000</v>
      </c>
      <c r="F24" s="771">
        <v>40</v>
      </c>
      <c r="G24" s="772">
        <v>300000</v>
      </c>
      <c r="H24" s="770">
        <f>F24*G24</f>
        <v>12000000</v>
      </c>
      <c r="I24" s="760">
        <v>0</v>
      </c>
      <c r="J24" s="772"/>
      <c r="K24" s="770"/>
      <c r="L24" s="772">
        <f>E24+H24+K24</f>
        <v>27000000</v>
      </c>
    </row>
    <row r="25" spans="1:12" s="768" customFormat="1">
      <c r="A25" s="762" t="s">
        <v>851</v>
      </c>
      <c r="B25" s="237" t="s">
        <v>851</v>
      </c>
      <c r="C25" s="771">
        <v>250</v>
      </c>
      <c r="D25" s="772">
        <v>300000</v>
      </c>
      <c r="E25" s="770">
        <f t="shared" si="1"/>
        <v>75000000</v>
      </c>
      <c r="F25" s="771">
        <v>80</v>
      </c>
      <c r="G25" s="772">
        <v>250000</v>
      </c>
      <c r="H25" s="770">
        <f>F25*G25</f>
        <v>20000000</v>
      </c>
      <c r="I25" s="760">
        <v>0</v>
      </c>
      <c r="J25" s="772"/>
      <c r="K25" s="770"/>
      <c r="L25" s="772">
        <f>E25+H25</f>
        <v>95000000</v>
      </c>
    </row>
    <row r="26" spans="1:12" s="768" customFormat="1">
      <c r="A26" s="1576" t="s">
        <v>852</v>
      </c>
      <c r="B26" s="237" t="s">
        <v>853</v>
      </c>
      <c r="C26" s="771">
        <v>30</v>
      </c>
      <c r="D26" s="772">
        <v>400000</v>
      </c>
      <c r="E26" s="770">
        <f t="shared" si="1"/>
        <v>12000000</v>
      </c>
      <c r="F26" s="771">
        <v>10</v>
      </c>
      <c r="G26" s="772">
        <v>250000</v>
      </c>
      <c r="H26" s="770">
        <f>F26*G26</f>
        <v>2500000</v>
      </c>
      <c r="I26" s="1577">
        <v>80</v>
      </c>
      <c r="J26" s="1575">
        <v>300000</v>
      </c>
      <c r="K26" s="1574">
        <f>I26*J26</f>
        <v>24000000</v>
      </c>
      <c r="L26" s="1575">
        <f>E26+E27+H26+H27+K26</f>
        <v>182500000</v>
      </c>
    </row>
    <row r="27" spans="1:12" s="768" customFormat="1">
      <c r="A27" s="1576"/>
      <c r="B27" s="237" t="s">
        <v>854</v>
      </c>
      <c r="C27" s="771">
        <v>150</v>
      </c>
      <c r="D27" s="772">
        <v>800000</v>
      </c>
      <c r="E27" s="770">
        <f t="shared" si="1"/>
        <v>120000000</v>
      </c>
      <c r="F27" s="771">
        <v>40</v>
      </c>
      <c r="G27" s="772">
        <v>600000</v>
      </c>
      <c r="H27" s="770">
        <f>F27*G27</f>
        <v>24000000</v>
      </c>
      <c r="I27" s="1577"/>
      <c r="J27" s="1575"/>
      <c r="K27" s="1574"/>
      <c r="L27" s="1575"/>
    </row>
    <row r="28" spans="1:12" s="768" customFormat="1">
      <c r="A28" s="237" t="s">
        <v>450</v>
      </c>
      <c r="B28" s="237"/>
      <c r="C28" s="774">
        <f t="shared" ref="C28:I28" si="2">+SUM(C21:C27)</f>
        <v>790</v>
      </c>
      <c r="D28" s="772"/>
      <c r="E28" s="770">
        <f>SUM(E21:E27)</f>
        <v>474000000</v>
      </c>
      <c r="F28" s="774">
        <f t="shared" si="2"/>
        <v>570</v>
      </c>
      <c r="G28" s="772"/>
      <c r="H28" s="770">
        <f>SUM(H21:H27)</f>
        <v>263500000</v>
      </c>
      <c r="I28" s="774">
        <f t="shared" si="2"/>
        <v>380</v>
      </c>
      <c r="J28" s="772"/>
      <c r="K28" s="770">
        <f>SUM(K21:K27)</f>
        <v>114000000</v>
      </c>
      <c r="L28" s="770">
        <f>SUM(L21:L27)</f>
        <v>851500000</v>
      </c>
    </row>
    <row r="29" spans="1:12" s="768" customFormat="1">
      <c r="A29" s="749"/>
      <c r="B29" s="749"/>
      <c r="C29" s="775"/>
      <c r="D29" s="776"/>
      <c r="E29" s="769"/>
      <c r="F29" s="775"/>
      <c r="G29" s="776"/>
      <c r="H29" s="769"/>
      <c r="I29" s="775"/>
      <c r="J29" s="776"/>
      <c r="K29" s="769"/>
      <c r="L29" s="769"/>
    </row>
    <row r="30" spans="1:12" s="768" customFormat="1">
      <c r="A30" s="749"/>
      <c r="B30" s="749"/>
      <c r="C30" s="775"/>
      <c r="D30" s="776"/>
      <c r="E30" s="769"/>
      <c r="F30" s="775"/>
      <c r="G30" s="776"/>
      <c r="H30" s="769"/>
      <c r="I30" s="775"/>
      <c r="J30" s="776"/>
      <c r="K30" s="769"/>
      <c r="L30" s="769"/>
    </row>
    <row r="31" spans="1:12" s="768" customFormat="1">
      <c r="A31" s="753"/>
      <c r="B31" s="753"/>
      <c r="C31" s="753"/>
      <c r="D31" s="777"/>
      <c r="E31" s="777"/>
      <c r="F31" s="753"/>
      <c r="G31" s="777"/>
      <c r="H31" s="777"/>
      <c r="I31" s="753"/>
      <c r="J31" s="777"/>
      <c r="K31" s="777"/>
      <c r="L31" s="777"/>
    </row>
    <row r="32" spans="1:12" s="768" customFormat="1">
      <c r="A32" s="1584" t="s">
        <v>1537</v>
      </c>
      <c r="B32" s="1584"/>
      <c r="C32" s="1584"/>
      <c r="D32" s="1584"/>
      <c r="E32" s="1584"/>
      <c r="F32" s="1584"/>
      <c r="G32" s="1584"/>
      <c r="H32" s="1584"/>
      <c r="I32" s="1584"/>
      <c r="J32" s="1584"/>
      <c r="K32" s="1584"/>
      <c r="L32" s="1584"/>
    </row>
    <row r="33" spans="1:22" s="768" customFormat="1">
      <c r="A33" s="748"/>
      <c r="B33" s="748"/>
      <c r="C33" s="748"/>
      <c r="D33" s="769"/>
      <c r="E33" s="769"/>
      <c r="F33" s="748"/>
      <c r="G33" s="769"/>
      <c r="H33" s="769"/>
      <c r="I33" s="748"/>
      <c r="J33" s="769"/>
      <c r="K33" s="769"/>
      <c r="L33" s="769" t="s">
        <v>1447</v>
      </c>
    </row>
    <row r="34" spans="1:22" s="768" customFormat="1" ht="32.25" customHeight="1">
      <c r="A34" s="1576" t="s">
        <v>834</v>
      </c>
      <c r="B34" s="1576" t="s">
        <v>835</v>
      </c>
      <c r="C34" s="1576" t="s">
        <v>836</v>
      </c>
      <c r="D34" s="1576"/>
      <c r="E34" s="1576"/>
      <c r="F34" s="1576" t="s">
        <v>837</v>
      </c>
      <c r="G34" s="1576"/>
      <c r="H34" s="1576"/>
      <c r="I34" s="1576" t="s">
        <v>838</v>
      </c>
      <c r="J34" s="1576"/>
      <c r="K34" s="1576"/>
      <c r="L34" s="1585" t="s">
        <v>156</v>
      </c>
    </row>
    <row r="35" spans="1:22" s="768" customFormat="1" ht="45">
      <c r="A35" s="1576"/>
      <c r="B35" s="1576"/>
      <c r="C35" s="762" t="s">
        <v>839</v>
      </c>
      <c r="D35" s="770" t="s">
        <v>1538</v>
      </c>
      <c r="E35" s="770" t="s">
        <v>433</v>
      </c>
      <c r="F35" s="762" t="s">
        <v>841</v>
      </c>
      <c r="G35" s="770" t="s">
        <v>842</v>
      </c>
      <c r="H35" s="770" t="s">
        <v>433</v>
      </c>
      <c r="I35" s="762" t="s">
        <v>843</v>
      </c>
      <c r="J35" s="770" t="s">
        <v>844</v>
      </c>
      <c r="K35" s="770" t="s">
        <v>433</v>
      </c>
      <c r="L35" s="1586"/>
    </row>
    <row r="36" spans="1:22" s="768" customFormat="1" ht="22.5">
      <c r="A36" s="1576" t="s">
        <v>845</v>
      </c>
      <c r="B36" s="237" t="s">
        <v>1534</v>
      </c>
      <c r="C36" s="771">
        <v>15</v>
      </c>
      <c r="D36" s="772">
        <v>400000</v>
      </c>
      <c r="E36" s="770">
        <f t="shared" ref="E36:E42" si="3">+C36*D36</f>
        <v>6000000</v>
      </c>
      <c r="F36" s="1578">
        <v>50</v>
      </c>
      <c r="G36" s="1580">
        <v>250000</v>
      </c>
      <c r="H36" s="1582">
        <f>F36*G36</f>
        <v>12500000</v>
      </c>
      <c r="I36" s="1577">
        <v>200</v>
      </c>
      <c r="J36" s="1575">
        <v>300000</v>
      </c>
      <c r="K36" s="1574">
        <f>I36*J36</f>
        <v>60000000</v>
      </c>
      <c r="L36" s="1575">
        <f>E36+E37+E38+H36+H38+K36</f>
        <v>314500000</v>
      </c>
    </row>
    <row r="37" spans="1:22" s="768" customFormat="1" ht="33.75">
      <c r="A37" s="1576"/>
      <c r="B37" s="237" t="s">
        <v>1535</v>
      </c>
      <c r="C37" s="771">
        <v>25</v>
      </c>
      <c r="D37" s="772">
        <v>800000</v>
      </c>
      <c r="E37" s="770">
        <f t="shared" si="3"/>
        <v>20000000</v>
      </c>
      <c r="F37" s="1579"/>
      <c r="G37" s="1581"/>
      <c r="H37" s="1583"/>
      <c r="I37" s="1577"/>
      <c r="J37" s="1575"/>
      <c r="K37" s="1574"/>
      <c r="L37" s="1575"/>
    </row>
    <row r="38" spans="1:22" s="768" customFormat="1">
      <c r="A38" s="1576"/>
      <c r="B38" s="237" t="s">
        <v>848</v>
      </c>
      <c r="C38" s="771">
        <v>120</v>
      </c>
      <c r="D38" s="772">
        <v>800000</v>
      </c>
      <c r="E38" s="770">
        <f t="shared" si="3"/>
        <v>96000000</v>
      </c>
      <c r="F38" s="771">
        <v>200</v>
      </c>
      <c r="G38" s="772">
        <v>600000</v>
      </c>
      <c r="H38" s="770">
        <f>F38*G38</f>
        <v>120000000</v>
      </c>
      <c r="I38" s="1577"/>
      <c r="J38" s="1575"/>
      <c r="K38" s="1574"/>
      <c r="L38" s="1575"/>
    </row>
    <row r="39" spans="1:22" s="768" customFormat="1">
      <c r="A39" s="762" t="s">
        <v>850</v>
      </c>
      <c r="B39" s="763" t="s">
        <v>850</v>
      </c>
      <c r="C39" s="773">
        <v>10</v>
      </c>
      <c r="D39" s="772">
        <v>500000</v>
      </c>
      <c r="E39" s="770">
        <f t="shared" si="3"/>
        <v>5000000</v>
      </c>
      <c r="F39" s="771">
        <v>20</v>
      </c>
      <c r="G39" s="772">
        <v>300000</v>
      </c>
      <c r="H39" s="770">
        <f>F39*G39</f>
        <v>6000000</v>
      </c>
      <c r="I39" s="760">
        <v>0</v>
      </c>
      <c r="J39" s="772"/>
      <c r="K39" s="770"/>
      <c r="L39" s="772">
        <f>E39+H39+K39</f>
        <v>11000000</v>
      </c>
    </row>
    <row r="40" spans="1:22" s="768" customFormat="1">
      <c r="A40" s="762" t="s">
        <v>851</v>
      </c>
      <c r="B40" s="237" t="s">
        <v>851</v>
      </c>
      <c r="C40" s="771">
        <v>120</v>
      </c>
      <c r="D40" s="772">
        <v>300000</v>
      </c>
      <c r="E40" s="770">
        <f t="shared" si="3"/>
        <v>36000000</v>
      </c>
      <c r="F40" s="771">
        <v>40</v>
      </c>
      <c r="G40" s="772">
        <v>250000</v>
      </c>
      <c r="H40" s="770">
        <f>F40*G40</f>
        <v>10000000</v>
      </c>
      <c r="I40" s="760">
        <v>0</v>
      </c>
      <c r="J40" s="772"/>
      <c r="K40" s="770"/>
      <c r="L40" s="772">
        <f>E40+H40</f>
        <v>46000000</v>
      </c>
    </row>
    <row r="41" spans="1:22" s="768" customFormat="1">
      <c r="A41" s="1576" t="s">
        <v>852</v>
      </c>
      <c r="B41" s="237" t="s">
        <v>853</v>
      </c>
      <c r="C41" s="771">
        <v>15</v>
      </c>
      <c r="D41" s="772">
        <v>400000</v>
      </c>
      <c r="E41" s="770">
        <f t="shared" si="3"/>
        <v>6000000</v>
      </c>
      <c r="F41" s="771">
        <v>5</v>
      </c>
      <c r="G41" s="772">
        <v>250000</v>
      </c>
      <c r="H41" s="770">
        <f>F41*G41</f>
        <v>1250000</v>
      </c>
      <c r="I41" s="1577">
        <v>40</v>
      </c>
      <c r="J41" s="1575">
        <v>300000</v>
      </c>
      <c r="K41" s="1574">
        <f>I41*J41</f>
        <v>12000000</v>
      </c>
      <c r="L41" s="1575">
        <f>E41+E42+H41+H42+K41</f>
        <v>91250000</v>
      </c>
    </row>
    <row r="42" spans="1:22" s="768" customFormat="1">
      <c r="A42" s="1576"/>
      <c r="B42" s="237" t="s">
        <v>854</v>
      </c>
      <c r="C42" s="771">
        <v>75</v>
      </c>
      <c r="D42" s="772">
        <v>800000</v>
      </c>
      <c r="E42" s="770">
        <f t="shared" si="3"/>
        <v>60000000</v>
      </c>
      <c r="F42" s="771">
        <v>20</v>
      </c>
      <c r="G42" s="772">
        <v>600000</v>
      </c>
      <c r="H42" s="770">
        <f>F42*G42</f>
        <v>12000000</v>
      </c>
      <c r="I42" s="1577"/>
      <c r="J42" s="1575"/>
      <c r="K42" s="1574"/>
      <c r="L42" s="1575"/>
    </row>
    <row r="43" spans="1:22" s="768" customFormat="1">
      <c r="A43" s="237" t="s">
        <v>450</v>
      </c>
      <c r="B43" s="237"/>
      <c r="C43" s="774">
        <f>+SUM(C36:C42)</f>
        <v>380</v>
      </c>
      <c r="D43" s="772"/>
      <c r="E43" s="770">
        <f>SUM(E36:E42)</f>
        <v>229000000</v>
      </c>
      <c r="F43" s="774">
        <f>+SUM(F36:F42)</f>
        <v>335</v>
      </c>
      <c r="G43" s="772"/>
      <c r="H43" s="770">
        <f>SUM(H36:H42)</f>
        <v>161750000</v>
      </c>
      <c r="I43" s="774">
        <f>+SUM(I36:I42)</f>
        <v>240</v>
      </c>
      <c r="J43" s="772"/>
      <c r="K43" s="770">
        <f>SUM(K36:K42)</f>
        <v>72000000</v>
      </c>
      <c r="L43" s="770">
        <f>SUM(L36:L42)</f>
        <v>462750000</v>
      </c>
    </row>
    <row r="44" spans="1:22" s="778" customFormat="1">
      <c r="A44" s="749"/>
      <c r="B44" s="749"/>
      <c r="C44" s="775"/>
      <c r="D44" s="776"/>
      <c r="E44" s="769"/>
      <c r="F44" s="775"/>
      <c r="G44" s="776"/>
      <c r="H44" s="769"/>
      <c r="I44" s="775"/>
      <c r="J44" s="776"/>
      <c r="K44" s="769"/>
      <c r="L44" s="769"/>
    </row>
    <row r="45" spans="1:22" s="778" customFormat="1">
      <c r="A45" s="749"/>
      <c r="B45" s="749"/>
      <c r="C45" s="775"/>
      <c r="D45" s="776"/>
      <c r="E45" s="769"/>
      <c r="F45" s="775"/>
      <c r="G45" s="776"/>
      <c r="H45" s="769"/>
      <c r="I45" s="775"/>
      <c r="J45" s="776"/>
      <c r="K45" s="769"/>
      <c r="L45" s="769"/>
    </row>
    <row r="46" spans="1:22" s="768" customFormat="1">
      <c r="A46" s="1572" t="s">
        <v>1539</v>
      </c>
      <c r="B46" s="1572"/>
      <c r="C46" s="1572"/>
      <c r="D46" s="1572"/>
      <c r="E46" s="1572"/>
      <c r="F46" s="1572"/>
      <c r="G46" s="1572"/>
      <c r="H46" s="1572"/>
      <c r="I46" s="1572"/>
      <c r="J46" s="1572"/>
      <c r="K46" s="1572"/>
      <c r="L46" s="1572"/>
    </row>
    <row r="47" spans="1:22" ht="29.25" customHeight="1">
      <c r="A47" s="1573"/>
      <c r="B47" s="1573"/>
      <c r="C47" s="1573"/>
      <c r="D47" s="1573"/>
      <c r="E47" s="1573"/>
      <c r="F47" s="1573"/>
      <c r="G47" s="1573"/>
      <c r="H47" s="1573"/>
      <c r="I47" s="1573"/>
      <c r="J47" s="1573"/>
      <c r="K47" s="1573"/>
      <c r="L47" s="1573"/>
      <c r="N47" s="753"/>
      <c r="O47" s="753"/>
      <c r="P47" s="753"/>
      <c r="Q47" s="753"/>
      <c r="R47" s="753"/>
      <c r="S47" s="753"/>
      <c r="T47" s="753"/>
      <c r="U47" s="753"/>
      <c r="V47" s="753"/>
    </row>
    <row r="48" spans="1:22" ht="37.5" customHeight="1">
      <c r="N48" s="753"/>
      <c r="O48" s="753"/>
      <c r="P48" s="753"/>
      <c r="Q48" s="753"/>
      <c r="R48" s="753"/>
      <c r="S48" s="753"/>
      <c r="T48" s="753"/>
      <c r="U48" s="753"/>
      <c r="V48" s="753"/>
    </row>
    <row r="49" s="753" customFormat="1" ht="46.5" customHeight="1"/>
    <row r="50" s="753" customFormat="1" ht="28.5" customHeight="1"/>
    <row r="51" s="753" customFormat="1" ht="28.5" customHeight="1"/>
    <row r="52" s="753" customFormat="1" ht="11.25"/>
    <row r="53" s="753" customFormat="1" ht="11.25"/>
    <row r="54" s="753" customFormat="1" ht="11.25"/>
    <row r="55" s="753" customFormat="1" ht="11.25"/>
  </sheetData>
  <mergeCells count="65">
    <mergeCell ref="A2:L2"/>
    <mergeCell ref="A4:A5"/>
    <mergeCell ref="B4:B5"/>
    <mergeCell ref="C4:E4"/>
    <mergeCell ref="F4:H4"/>
    <mergeCell ref="I4:K4"/>
    <mergeCell ref="L4:L5"/>
    <mergeCell ref="K6:K8"/>
    <mergeCell ref="L6:L8"/>
    <mergeCell ref="A11:A12"/>
    <mergeCell ref="F11:F12"/>
    <mergeCell ref="G11:G12"/>
    <mergeCell ref="H11:H12"/>
    <mergeCell ref="I11:I12"/>
    <mergeCell ref="J11:J12"/>
    <mergeCell ref="K11:K12"/>
    <mergeCell ref="L11:L12"/>
    <mergeCell ref="A6:A8"/>
    <mergeCell ref="F6:F8"/>
    <mergeCell ref="G6:G8"/>
    <mergeCell ref="H6:H8"/>
    <mergeCell ref="I6:I8"/>
    <mergeCell ref="J6:J8"/>
    <mergeCell ref="A17:L17"/>
    <mergeCell ref="A19:A20"/>
    <mergeCell ref="B19:B20"/>
    <mergeCell ref="C19:E19"/>
    <mergeCell ref="F19:H19"/>
    <mergeCell ref="I19:K19"/>
    <mergeCell ref="L19:L20"/>
    <mergeCell ref="K21:K23"/>
    <mergeCell ref="L21:L23"/>
    <mergeCell ref="A26:A27"/>
    <mergeCell ref="I26:I27"/>
    <mergeCell ref="J26:J27"/>
    <mergeCell ref="K26:K27"/>
    <mergeCell ref="L26:L27"/>
    <mergeCell ref="A21:A23"/>
    <mergeCell ref="F21:F22"/>
    <mergeCell ref="G21:G22"/>
    <mergeCell ref="H21:H22"/>
    <mergeCell ref="I21:I23"/>
    <mergeCell ref="J21:J23"/>
    <mergeCell ref="A32:L32"/>
    <mergeCell ref="A34:A35"/>
    <mergeCell ref="B34:B35"/>
    <mergeCell ref="C34:E34"/>
    <mergeCell ref="F34:H34"/>
    <mergeCell ref="I34:K34"/>
    <mergeCell ref="L34:L35"/>
    <mergeCell ref="A46:L46"/>
    <mergeCell ref="A47:L47"/>
    <mergeCell ref="K36:K38"/>
    <mergeCell ref="L36:L38"/>
    <mergeCell ref="A41:A42"/>
    <mergeCell ref="I41:I42"/>
    <mergeCell ref="J41:J42"/>
    <mergeCell ref="K41:K42"/>
    <mergeCell ref="L41:L42"/>
    <mergeCell ref="A36:A38"/>
    <mergeCell ref="F36:F37"/>
    <mergeCell ref="G36:G37"/>
    <mergeCell ref="H36:H37"/>
    <mergeCell ref="I36:I38"/>
    <mergeCell ref="J36:J38"/>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D15" sqref="D15"/>
    </sheetView>
  </sheetViews>
  <sheetFormatPr defaultRowHeight="14.25"/>
  <cols>
    <col min="2" max="2" width="49.28515625" customWidth="1"/>
    <col min="3" max="3" width="15.7109375" bestFit="1" customWidth="1"/>
    <col min="4" max="4" width="74.42578125" customWidth="1"/>
  </cols>
  <sheetData>
    <row r="1" spans="1:4" ht="15.75">
      <c r="A1" s="1554" t="s">
        <v>1540</v>
      </c>
      <c r="B1" s="1554"/>
      <c r="C1" s="1554"/>
      <c r="D1" s="1554"/>
    </row>
    <row r="2" spans="1:4" ht="15.75">
      <c r="A2" s="681"/>
      <c r="B2" s="682"/>
      <c r="C2" s="683"/>
      <c r="D2" s="779">
        <v>43286</v>
      </c>
    </row>
    <row r="3" spans="1:4" ht="30">
      <c r="A3" s="780" t="s">
        <v>1</v>
      </c>
      <c r="B3" s="781" t="s">
        <v>398</v>
      </c>
      <c r="C3" s="684" t="s">
        <v>1541</v>
      </c>
      <c r="D3" s="782" t="s">
        <v>1542</v>
      </c>
    </row>
    <row r="4" spans="1:4" ht="15">
      <c r="A4" s="1600" t="s">
        <v>1543</v>
      </c>
      <c r="B4" s="1601"/>
      <c r="C4" s="1601"/>
      <c r="D4" s="1602"/>
    </row>
    <row r="5" spans="1:4" ht="57">
      <c r="A5" s="685">
        <v>1</v>
      </c>
      <c r="B5" s="686" t="s">
        <v>1544</v>
      </c>
      <c r="C5" s="687">
        <f>+'[2]1.1'!G25</f>
        <v>19346000</v>
      </c>
      <c r="D5" s="1598" t="s">
        <v>1545</v>
      </c>
    </row>
    <row r="6" spans="1:4" ht="42.75">
      <c r="A6" s="685">
        <f>+A5+1</f>
        <v>2</v>
      </c>
      <c r="B6" s="95" t="s">
        <v>1546</v>
      </c>
      <c r="C6" s="783">
        <f>+'[2]1.2'!L11</f>
        <v>5400000</v>
      </c>
      <c r="D6" s="1599"/>
    </row>
    <row r="7" spans="1:4">
      <c r="A7" s="685">
        <f t="shared" ref="A7:A12" si="0">+A6+1</f>
        <v>3</v>
      </c>
      <c r="B7" s="95" t="s">
        <v>1547</v>
      </c>
      <c r="C7" s="783">
        <f>+'[2]1.3'!F4</f>
        <v>3300000</v>
      </c>
      <c r="D7" s="1598" t="s">
        <v>1548</v>
      </c>
    </row>
    <row r="8" spans="1:4" ht="28.5">
      <c r="A8" s="685">
        <f t="shared" si="0"/>
        <v>4</v>
      </c>
      <c r="B8" s="95" t="s">
        <v>1549</v>
      </c>
      <c r="C8" s="783">
        <f>+'[2]1.4'!F4</f>
        <v>24480000</v>
      </c>
      <c r="D8" s="1606"/>
    </row>
    <row r="9" spans="1:4">
      <c r="A9" s="685">
        <f t="shared" si="0"/>
        <v>5</v>
      </c>
      <c r="B9" s="95" t="s">
        <v>1550</v>
      </c>
      <c r="C9" s="783">
        <f>+'[2]1.5'!F5</f>
        <v>24000000</v>
      </c>
      <c r="D9" s="1606"/>
    </row>
    <row r="10" spans="1:4">
      <c r="A10" s="685">
        <f t="shared" si="0"/>
        <v>6</v>
      </c>
      <c r="B10" s="95" t="s">
        <v>1551</v>
      </c>
      <c r="C10" s="783">
        <f>+'[2]1.6'!F4</f>
        <v>15000000</v>
      </c>
      <c r="D10" s="1606"/>
    </row>
    <row r="11" spans="1:4">
      <c r="A11" s="685">
        <f t="shared" si="0"/>
        <v>7</v>
      </c>
      <c r="B11" s="686" t="s">
        <v>1552</v>
      </c>
      <c r="C11" s="783">
        <f>+'[2]1.7'!F4</f>
        <v>12000000</v>
      </c>
      <c r="D11" s="1606"/>
    </row>
    <row r="12" spans="1:4">
      <c r="A12" s="685">
        <f t="shared" si="0"/>
        <v>8</v>
      </c>
      <c r="B12" s="784" t="s">
        <v>1553</v>
      </c>
      <c r="C12" s="783">
        <f>+'[2]1.8'!F10</f>
        <v>280000</v>
      </c>
      <c r="D12" s="1599"/>
    </row>
    <row r="13" spans="1:4" ht="15">
      <c r="A13" s="578"/>
      <c r="B13" s="691" t="s">
        <v>284</v>
      </c>
      <c r="C13" s="692">
        <f>SUM(C5:C12)</f>
        <v>103806000</v>
      </c>
      <c r="D13" s="785"/>
    </row>
    <row r="14" spans="1:4" ht="15">
      <c r="A14" s="1600" t="s">
        <v>1554</v>
      </c>
      <c r="B14" s="1601"/>
      <c r="C14" s="1601"/>
      <c r="D14" s="1602"/>
    </row>
    <row r="15" spans="1:4" ht="157.5">
      <c r="A15" s="685">
        <v>1</v>
      </c>
      <c r="B15" s="786" t="s">
        <v>1555</v>
      </c>
      <c r="C15" s="687">
        <f>+'[2]2.1'!F7</f>
        <v>31500000</v>
      </c>
      <c r="D15" s="787" t="s">
        <v>1545</v>
      </c>
    </row>
    <row r="16" spans="1:4" ht="15">
      <c r="A16" s="578"/>
      <c r="B16" s="691" t="s">
        <v>284</v>
      </c>
      <c r="C16" s="692">
        <f>+C15</f>
        <v>31500000</v>
      </c>
      <c r="D16" s="788"/>
    </row>
    <row r="17" spans="1:4" ht="15">
      <c r="A17" s="1607" t="s">
        <v>1556</v>
      </c>
      <c r="B17" s="1608"/>
      <c r="C17" s="1608"/>
      <c r="D17" s="1609"/>
    </row>
    <row r="18" spans="1:4" ht="57.75">
      <c r="A18" s="789">
        <v>1</v>
      </c>
      <c r="B18" s="790" t="s">
        <v>1557</v>
      </c>
      <c r="C18" s="791">
        <f>+'[2]3.1'!G15</f>
        <v>1482000</v>
      </c>
      <c r="D18" s="1598" t="s">
        <v>1558</v>
      </c>
    </row>
    <row r="19" spans="1:4" ht="72">
      <c r="A19" s="685">
        <v>2</v>
      </c>
      <c r="B19" s="686" t="s">
        <v>1559</v>
      </c>
      <c r="C19" s="783">
        <f>+'[2]3.2'!C200</f>
        <v>0</v>
      </c>
      <c r="D19" s="1599"/>
    </row>
    <row r="20" spans="1:4" ht="15">
      <c r="A20" s="578"/>
      <c r="B20" s="691" t="s">
        <v>284</v>
      </c>
      <c r="C20" s="692">
        <f>+C18+C19</f>
        <v>1482000</v>
      </c>
      <c r="D20" s="785"/>
    </row>
    <row r="21" spans="1:4" ht="15">
      <c r="A21" s="1600" t="s">
        <v>1560</v>
      </c>
      <c r="B21" s="1601"/>
      <c r="C21" s="1601"/>
      <c r="D21" s="1602"/>
    </row>
    <row r="22" spans="1:4" ht="114.75">
      <c r="A22" s="685">
        <v>1</v>
      </c>
      <c r="B22" s="686" t="s">
        <v>1561</v>
      </c>
      <c r="C22" s="687">
        <f>+'[2]4.1'!F17+'[2]4.1'!G36</f>
        <v>6228000</v>
      </c>
      <c r="D22" s="685" t="s">
        <v>1562</v>
      </c>
    </row>
    <row r="23" spans="1:4" ht="42.75">
      <c r="A23" s="685">
        <f>+A22+1</f>
        <v>2</v>
      </c>
      <c r="B23" s="95" t="s">
        <v>1563</v>
      </c>
      <c r="C23" s="792">
        <f>+'[2]4.2'!F20+'[2]4.2'!F41</f>
        <v>265000</v>
      </c>
      <c r="D23" s="501" t="s">
        <v>1564</v>
      </c>
    </row>
    <row r="24" spans="1:4">
      <c r="A24" s="685">
        <f t="shared" ref="A24:A26" si="1">+A23+1</f>
        <v>3</v>
      </c>
      <c r="B24" s="95" t="s">
        <v>1565</v>
      </c>
      <c r="C24" s="792">
        <f>+'[2]4.3'!F17</f>
        <v>100000</v>
      </c>
      <c r="D24" s="1603" t="s">
        <v>1548</v>
      </c>
    </row>
    <row r="25" spans="1:4">
      <c r="A25" s="685">
        <f t="shared" si="1"/>
        <v>4</v>
      </c>
      <c r="B25" s="95" t="s">
        <v>1566</v>
      </c>
      <c r="C25" s="792">
        <f>+'[2]4.4'!F17</f>
        <v>100000</v>
      </c>
      <c r="D25" s="1604"/>
    </row>
    <row r="26" spans="1:4" ht="28.5">
      <c r="A26" s="685">
        <f t="shared" si="1"/>
        <v>5</v>
      </c>
      <c r="B26" s="793" t="s">
        <v>1567</v>
      </c>
      <c r="C26" s="792">
        <f>+'[2]4.5'!H13</f>
        <v>4446000</v>
      </c>
      <c r="D26" s="1604"/>
    </row>
    <row r="27" spans="1:4">
      <c r="A27" s="685">
        <v>6</v>
      </c>
      <c r="B27" s="793" t="s">
        <v>1568</v>
      </c>
      <c r="C27" s="792">
        <f>+'[2]4.6'!F21+'[2]4.6'!F42</f>
        <v>101200</v>
      </c>
      <c r="D27" s="1605"/>
    </row>
    <row r="28" spans="1:4" ht="15">
      <c r="A28" s="685"/>
      <c r="B28" s="793"/>
      <c r="C28" s="794">
        <f>SUM(C22:C27)</f>
        <v>11240200</v>
      </c>
      <c r="D28" s="793"/>
    </row>
    <row r="29" spans="1:4" ht="15">
      <c r="A29" s="1600" t="s">
        <v>1569</v>
      </c>
      <c r="B29" s="1601"/>
      <c r="C29" s="1601"/>
      <c r="D29" s="1602"/>
    </row>
    <row r="30" spans="1:4" ht="28.5">
      <c r="A30" s="685">
        <v>5</v>
      </c>
      <c r="B30" s="793" t="s">
        <v>1570</v>
      </c>
      <c r="C30" s="792">
        <v>5000000</v>
      </c>
      <c r="D30" s="793"/>
    </row>
    <row r="31" spans="1:4" ht="15">
      <c r="A31" s="578"/>
      <c r="B31" s="691" t="s">
        <v>284</v>
      </c>
      <c r="C31" s="692">
        <f>+C30</f>
        <v>5000000</v>
      </c>
      <c r="D31" s="785"/>
    </row>
    <row r="32" spans="1:4" ht="15">
      <c r="A32" s="578"/>
      <c r="B32" s="691" t="s">
        <v>1457</v>
      </c>
      <c r="C32" s="694">
        <f>+C13+C16+C20+C28+C31</f>
        <v>153028200</v>
      </c>
      <c r="D32" s="795"/>
    </row>
  </sheetData>
  <mergeCells count="10">
    <mergeCell ref="D18:D19"/>
    <mergeCell ref="A21:D21"/>
    <mergeCell ref="D24:D27"/>
    <mergeCell ref="A29:D29"/>
    <mergeCell ref="A1:D1"/>
    <mergeCell ref="A4:D4"/>
    <mergeCell ref="D5:D6"/>
    <mergeCell ref="D7:D12"/>
    <mergeCell ref="A14:D14"/>
    <mergeCell ref="A17:D17"/>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H9" sqref="H9"/>
    </sheetView>
  </sheetViews>
  <sheetFormatPr defaultRowHeight="14.25"/>
  <cols>
    <col min="1" max="1" width="5.5703125" style="806" customWidth="1"/>
    <col min="2" max="2" width="26.28515625" style="580" customWidth="1"/>
    <col min="3" max="3" width="18.7109375" style="580" customWidth="1"/>
    <col min="4" max="4" width="10.28515625" style="805" customWidth="1"/>
    <col min="5" max="5" width="8.42578125" style="806" bestFit="1" customWidth="1"/>
    <col min="6" max="6" width="12.28515625" style="805" customWidth="1"/>
    <col min="7" max="7" width="15.7109375" style="805" bestFit="1" customWidth="1"/>
    <col min="8" max="16384" width="9.140625" style="580"/>
  </cols>
  <sheetData>
    <row r="1" spans="1:7" ht="15">
      <c r="A1" s="1612" t="s">
        <v>1571</v>
      </c>
      <c r="B1" s="1612"/>
      <c r="C1" s="1612"/>
      <c r="D1" s="1612"/>
      <c r="E1" s="1612"/>
      <c r="F1" s="1612"/>
      <c r="G1" s="1612"/>
    </row>
    <row r="3" spans="1:7" ht="30">
      <c r="A3" s="1613" t="s">
        <v>1</v>
      </c>
      <c r="B3" s="1614" t="s">
        <v>1525</v>
      </c>
      <c r="C3" s="1614" t="s">
        <v>1572</v>
      </c>
      <c r="D3" s="796" t="s">
        <v>1573</v>
      </c>
      <c r="E3" s="1614" t="s">
        <v>1574</v>
      </c>
      <c r="F3" s="1615" t="s">
        <v>174</v>
      </c>
      <c r="G3" s="1615"/>
    </row>
    <row r="4" spans="1:7" ht="15">
      <c r="A4" s="1613"/>
      <c r="B4" s="1614"/>
      <c r="C4" s="1614"/>
      <c r="D4" s="797" t="s">
        <v>1575</v>
      </c>
      <c r="E4" s="1614"/>
      <c r="F4" s="798" t="s">
        <v>1576</v>
      </c>
      <c r="G4" s="792" t="s">
        <v>1577</v>
      </c>
    </row>
    <row r="5" spans="1:7" ht="28.5">
      <c r="A5" s="579">
        <v>1</v>
      </c>
      <c r="B5" s="95" t="s">
        <v>625</v>
      </c>
      <c r="C5" s="22" t="s">
        <v>1578</v>
      </c>
      <c r="D5" s="799">
        <v>459</v>
      </c>
      <c r="E5" s="579">
        <v>2</v>
      </c>
      <c r="F5" s="799">
        <f>+D5*E5</f>
        <v>918</v>
      </c>
      <c r="G5" s="799">
        <f t="shared" ref="G5:G18" si="0">2470*D5*E5</f>
        <v>2267460</v>
      </c>
    </row>
    <row r="6" spans="1:7" ht="28.5">
      <c r="A6" s="579">
        <f>+A5+1</f>
        <v>2</v>
      </c>
      <c r="B6" s="95" t="s">
        <v>1579</v>
      </c>
      <c r="C6" s="22" t="s">
        <v>1580</v>
      </c>
      <c r="D6" s="799">
        <v>88</v>
      </c>
      <c r="E6" s="579">
        <v>2</v>
      </c>
      <c r="F6" s="799">
        <f>+D6*E6</f>
        <v>176</v>
      </c>
      <c r="G6" s="799">
        <f t="shared" si="0"/>
        <v>434720</v>
      </c>
    </row>
    <row r="7" spans="1:7">
      <c r="A7" s="579">
        <f t="shared" ref="A7:A18" si="1">+A6+1</f>
        <v>3</v>
      </c>
      <c r="B7" s="95" t="s">
        <v>623</v>
      </c>
      <c r="C7" s="22" t="s">
        <v>1581</v>
      </c>
      <c r="D7" s="799">
        <v>330</v>
      </c>
      <c r="E7" s="579">
        <v>2</v>
      </c>
      <c r="F7" s="799">
        <f t="shared" ref="F7:F18" si="2">+D7*E7</f>
        <v>660</v>
      </c>
      <c r="G7" s="799">
        <f t="shared" si="0"/>
        <v>1630200</v>
      </c>
    </row>
    <row r="8" spans="1:7" ht="28.5">
      <c r="A8" s="579">
        <f t="shared" si="1"/>
        <v>4</v>
      </c>
      <c r="B8" s="95" t="s">
        <v>1582</v>
      </c>
      <c r="C8" s="800" t="s">
        <v>1583</v>
      </c>
      <c r="D8" s="799">
        <v>320</v>
      </c>
      <c r="E8" s="579">
        <v>2</v>
      </c>
      <c r="F8" s="799">
        <f t="shared" si="2"/>
        <v>640</v>
      </c>
      <c r="G8" s="799">
        <f t="shared" si="0"/>
        <v>1580800</v>
      </c>
    </row>
    <row r="9" spans="1:7" ht="28.5">
      <c r="A9" s="579">
        <f t="shared" si="1"/>
        <v>5</v>
      </c>
      <c r="B9" s="95" t="s">
        <v>1582</v>
      </c>
      <c r="C9" s="22" t="s">
        <v>1584</v>
      </c>
      <c r="D9" s="799">
        <v>196</v>
      </c>
      <c r="E9" s="579">
        <v>2</v>
      </c>
      <c r="F9" s="799">
        <f t="shared" si="2"/>
        <v>392</v>
      </c>
      <c r="G9" s="799">
        <f t="shared" si="0"/>
        <v>968240</v>
      </c>
    </row>
    <row r="10" spans="1:7" ht="28.5">
      <c r="A10" s="579">
        <f t="shared" si="1"/>
        <v>6</v>
      </c>
      <c r="B10" s="95" t="s">
        <v>627</v>
      </c>
      <c r="C10" s="22" t="s">
        <v>1585</v>
      </c>
      <c r="D10" s="799">
        <v>387</v>
      </c>
      <c r="E10" s="579">
        <v>1</v>
      </c>
      <c r="F10" s="799">
        <f t="shared" si="2"/>
        <v>387</v>
      </c>
      <c r="G10" s="799">
        <f t="shared" si="0"/>
        <v>955890</v>
      </c>
    </row>
    <row r="11" spans="1:7" ht="28.5">
      <c r="A11" s="579">
        <f t="shared" si="1"/>
        <v>7</v>
      </c>
      <c r="B11" s="95" t="s">
        <v>624</v>
      </c>
      <c r="C11" s="22" t="s">
        <v>1586</v>
      </c>
      <c r="D11" s="799">
        <v>572</v>
      </c>
      <c r="E11" s="579">
        <v>2</v>
      </c>
      <c r="F11" s="799">
        <f t="shared" si="2"/>
        <v>1144</v>
      </c>
      <c r="G11" s="799">
        <f t="shared" si="0"/>
        <v>2825680</v>
      </c>
    </row>
    <row r="12" spans="1:7" ht="28.5">
      <c r="A12" s="579">
        <f t="shared" si="1"/>
        <v>8</v>
      </c>
      <c r="B12" s="95" t="s">
        <v>626</v>
      </c>
      <c r="C12" s="22" t="s">
        <v>1587</v>
      </c>
      <c r="D12" s="799">
        <v>582</v>
      </c>
      <c r="E12" s="579">
        <v>1</v>
      </c>
      <c r="F12" s="799">
        <f t="shared" si="2"/>
        <v>582</v>
      </c>
      <c r="G12" s="799">
        <f t="shared" si="0"/>
        <v>1437540</v>
      </c>
    </row>
    <row r="13" spans="1:7" ht="28.5">
      <c r="A13" s="579">
        <f t="shared" si="1"/>
        <v>9</v>
      </c>
      <c r="B13" s="95" t="s">
        <v>629</v>
      </c>
      <c r="C13" s="22" t="s">
        <v>1588</v>
      </c>
      <c r="D13" s="799">
        <v>670</v>
      </c>
      <c r="E13" s="579">
        <v>2</v>
      </c>
      <c r="F13" s="799">
        <f t="shared" si="2"/>
        <v>1340</v>
      </c>
      <c r="G13" s="799">
        <f t="shared" si="0"/>
        <v>3309800</v>
      </c>
    </row>
    <row r="14" spans="1:7">
      <c r="A14" s="579">
        <f t="shared" si="1"/>
        <v>10</v>
      </c>
      <c r="B14" s="95" t="s">
        <v>630</v>
      </c>
      <c r="C14" s="22" t="s">
        <v>1589</v>
      </c>
      <c r="D14" s="799">
        <v>243</v>
      </c>
      <c r="E14" s="579">
        <v>1</v>
      </c>
      <c r="F14" s="799">
        <f t="shared" si="2"/>
        <v>243</v>
      </c>
      <c r="G14" s="799">
        <f t="shared" si="0"/>
        <v>600210</v>
      </c>
    </row>
    <row r="15" spans="1:7" ht="28.5">
      <c r="A15" s="579">
        <f t="shared" si="1"/>
        <v>11</v>
      </c>
      <c r="B15" s="95" t="s">
        <v>631</v>
      </c>
      <c r="C15" s="22" t="s">
        <v>1590</v>
      </c>
      <c r="D15" s="799">
        <v>1600</v>
      </c>
      <c r="E15" s="579">
        <v>1</v>
      </c>
      <c r="F15" s="799">
        <f t="shared" si="2"/>
        <v>1600</v>
      </c>
      <c r="G15" s="799">
        <f t="shared" si="0"/>
        <v>3952000</v>
      </c>
    </row>
    <row r="16" spans="1:7" ht="28.5">
      <c r="A16" s="579">
        <f t="shared" si="1"/>
        <v>12</v>
      </c>
      <c r="B16" s="735" t="s">
        <v>1591</v>
      </c>
      <c r="C16" s="22" t="s">
        <v>1592</v>
      </c>
      <c r="D16" s="799">
        <v>2292</v>
      </c>
      <c r="E16" s="579">
        <v>1</v>
      </c>
      <c r="F16" s="799">
        <f t="shared" si="2"/>
        <v>2292</v>
      </c>
      <c r="G16" s="799">
        <f t="shared" si="0"/>
        <v>5661240</v>
      </c>
    </row>
    <row r="17" spans="1:7" ht="28.5">
      <c r="A17" s="579">
        <f t="shared" si="1"/>
        <v>13</v>
      </c>
      <c r="B17" s="735" t="s">
        <v>1593</v>
      </c>
      <c r="C17" s="22" t="s">
        <v>1594</v>
      </c>
      <c r="D17" s="799">
        <v>2287</v>
      </c>
      <c r="E17" s="579">
        <v>1</v>
      </c>
      <c r="F17" s="799">
        <f t="shared" si="2"/>
        <v>2287</v>
      </c>
      <c r="G17" s="799">
        <f t="shared" si="0"/>
        <v>5648890</v>
      </c>
    </row>
    <row r="18" spans="1:7" ht="28.5">
      <c r="A18" s="579">
        <f t="shared" si="1"/>
        <v>14</v>
      </c>
      <c r="B18" s="95" t="s">
        <v>628</v>
      </c>
      <c r="C18" s="22" t="s">
        <v>1595</v>
      </c>
      <c r="D18" s="799">
        <v>325</v>
      </c>
      <c r="E18" s="579">
        <v>3</v>
      </c>
      <c r="F18" s="799">
        <f t="shared" si="2"/>
        <v>975</v>
      </c>
      <c r="G18" s="799">
        <f t="shared" si="0"/>
        <v>2408250</v>
      </c>
    </row>
    <row r="19" spans="1:7" ht="15">
      <c r="A19" s="579"/>
      <c r="B19" s="801" t="s">
        <v>284</v>
      </c>
      <c r="C19" s="22"/>
      <c r="D19" s="802">
        <f>SUM(D5:D18)</f>
        <v>10351</v>
      </c>
      <c r="E19" s="579">
        <f>SUM(E5:E18)</f>
        <v>23</v>
      </c>
      <c r="F19" s="802">
        <f>SUM(F5:F18)</f>
        <v>13636</v>
      </c>
      <c r="G19" s="802">
        <f>SUM(G5:G18)</f>
        <v>33680920</v>
      </c>
    </row>
    <row r="20" spans="1:7">
      <c r="A20" s="579">
        <v>1</v>
      </c>
      <c r="B20" s="1611" t="s">
        <v>1596</v>
      </c>
      <c r="C20" s="1611"/>
      <c r="D20" s="1611"/>
      <c r="E20" s="1611"/>
      <c r="F20" s="804"/>
      <c r="G20" s="799">
        <v>200000</v>
      </c>
    </row>
    <row r="21" spans="1:7">
      <c r="A21" s="579">
        <v>2</v>
      </c>
      <c r="B21" s="1611" t="s">
        <v>1597</v>
      </c>
      <c r="C21" s="1611"/>
      <c r="D21" s="1611"/>
      <c r="E21" s="1611"/>
      <c r="F21" s="804"/>
      <c r="G21" s="799">
        <v>5070000</v>
      </c>
    </row>
    <row r="22" spans="1:7">
      <c r="A22" s="579">
        <v>3</v>
      </c>
      <c r="B22" s="1611" t="s">
        <v>1598</v>
      </c>
      <c r="C22" s="1611"/>
      <c r="D22" s="1611"/>
      <c r="E22" s="1611"/>
      <c r="F22" s="804"/>
      <c r="G22" s="799">
        <v>12656000</v>
      </c>
    </row>
    <row r="23" spans="1:7">
      <c r="A23" s="579">
        <v>4</v>
      </c>
      <c r="B23" s="1611" t="s">
        <v>1599</v>
      </c>
      <c r="C23" s="1611"/>
      <c r="D23" s="1611"/>
      <c r="E23" s="1611"/>
      <c r="F23" s="804"/>
      <c r="G23" s="799">
        <v>500000</v>
      </c>
    </row>
    <row r="24" spans="1:7">
      <c r="A24" s="579">
        <v>5</v>
      </c>
      <c r="B24" s="1611" t="s">
        <v>1600</v>
      </c>
      <c r="C24" s="1611"/>
      <c r="D24" s="1611"/>
      <c r="E24" s="1611"/>
      <c r="F24" s="804"/>
      <c r="G24" s="799">
        <v>920000</v>
      </c>
    </row>
    <row r="25" spans="1:7" ht="15">
      <c r="A25" s="579"/>
      <c r="B25" s="1610" t="s">
        <v>284</v>
      </c>
      <c r="C25" s="1610"/>
      <c r="D25" s="1610"/>
      <c r="E25" s="1610"/>
      <c r="F25" s="804"/>
      <c r="G25" s="802">
        <f>SUM(G20:G24)</f>
        <v>19346000</v>
      </c>
    </row>
    <row r="26" spans="1:7" ht="15">
      <c r="A26" s="579"/>
      <c r="B26" s="1610" t="s">
        <v>316</v>
      </c>
      <c r="C26" s="1610"/>
      <c r="D26" s="1610"/>
      <c r="E26" s="1610"/>
      <c r="F26" s="797"/>
      <c r="G26" s="802">
        <f>+G19+G25</f>
        <v>53026920</v>
      </c>
    </row>
    <row r="29" spans="1:7" ht="15">
      <c r="A29" s="580" t="s">
        <v>1601</v>
      </c>
    </row>
    <row r="30" spans="1:7">
      <c r="A30" s="674" t="s">
        <v>1602</v>
      </c>
      <c r="B30" s="674"/>
      <c r="C30" s="674"/>
      <c r="D30" s="674"/>
      <c r="E30" s="674"/>
      <c r="F30" s="807"/>
    </row>
  </sheetData>
  <mergeCells count="13">
    <mergeCell ref="A1:G1"/>
    <mergeCell ref="A3:A4"/>
    <mergeCell ref="B3:B4"/>
    <mergeCell ref="C3:C4"/>
    <mergeCell ref="E3:E4"/>
    <mergeCell ref="F3:G3"/>
    <mergeCell ref="B26:E26"/>
    <mergeCell ref="B20:E20"/>
    <mergeCell ref="B21:E21"/>
    <mergeCell ref="B22:E22"/>
    <mergeCell ref="B23:E23"/>
    <mergeCell ref="B24:E24"/>
    <mergeCell ref="B25:E25"/>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election activeCell="B1" sqref="B1:M1"/>
    </sheetView>
  </sheetViews>
  <sheetFormatPr defaultRowHeight="14.25"/>
  <cols>
    <col min="1" max="1" width="3" bestFit="1" customWidth="1"/>
    <col min="2" max="2" width="41.7109375" bestFit="1" customWidth="1"/>
    <col min="3" max="4" width="44.7109375" customWidth="1"/>
  </cols>
  <sheetData>
    <row r="1" spans="1:13">
      <c r="B1" s="1620" t="s">
        <v>1628</v>
      </c>
      <c r="C1" s="1620"/>
      <c r="D1" s="1620"/>
      <c r="E1" s="1620"/>
      <c r="F1" s="1620"/>
      <c r="G1" s="1620"/>
      <c r="H1" s="1620"/>
      <c r="I1" s="1620"/>
      <c r="J1" s="1620"/>
      <c r="K1" s="1620"/>
      <c r="L1" s="1620"/>
      <c r="M1" s="1620"/>
    </row>
    <row r="2" spans="1:13">
      <c r="A2" s="1621" t="s">
        <v>1</v>
      </c>
      <c r="B2" s="1622" t="s">
        <v>595</v>
      </c>
      <c r="C2" s="1564" t="s">
        <v>560</v>
      </c>
      <c r="D2" s="1622" t="s">
        <v>561</v>
      </c>
      <c r="E2" s="1623" t="s">
        <v>1603</v>
      </c>
      <c r="F2" s="1616" t="s">
        <v>596</v>
      </c>
      <c r="G2" s="1616" t="s">
        <v>1604</v>
      </c>
      <c r="H2" s="1617" t="s">
        <v>1605</v>
      </c>
      <c r="I2" s="1618" t="s">
        <v>1606</v>
      </c>
      <c r="J2" s="1619" t="s">
        <v>156</v>
      </c>
      <c r="K2" s="1619"/>
      <c r="L2" s="1619"/>
    </row>
    <row r="3" spans="1:13" ht="114" customHeight="1">
      <c r="A3" s="1621"/>
      <c r="B3" s="1622"/>
      <c r="C3" s="1564"/>
      <c r="D3" s="1622"/>
      <c r="E3" s="1623"/>
      <c r="F3" s="1616"/>
      <c r="G3" s="1616"/>
      <c r="H3" s="1617"/>
      <c r="I3" s="1618"/>
      <c r="J3" s="808" t="s">
        <v>597</v>
      </c>
      <c r="K3" s="808" t="s">
        <v>1606</v>
      </c>
      <c r="L3" s="808" t="s">
        <v>316</v>
      </c>
    </row>
    <row r="4" spans="1:13" ht="51">
      <c r="A4" s="502">
        <v>1</v>
      </c>
      <c r="B4" s="809" t="s">
        <v>1607</v>
      </c>
      <c r="C4" s="810" t="s">
        <v>1608</v>
      </c>
      <c r="D4" s="810" t="s">
        <v>1609</v>
      </c>
      <c r="E4" s="502">
        <v>45</v>
      </c>
      <c r="F4" s="811">
        <v>81</v>
      </c>
      <c r="G4" s="811">
        <f>+E4*F4</f>
        <v>3645</v>
      </c>
      <c r="H4" s="812">
        <v>700</v>
      </c>
      <c r="I4" s="812">
        <v>500</v>
      </c>
      <c r="J4" s="812">
        <f>+G4*H4</f>
        <v>2551500</v>
      </c>
      <c r="K4" s="813">
        <f>+G4*I4</f>
        <v>1822500</v>
      </c>
      <c r="L4" s="813">
        <f>+J4+K4</f>
        <v>4374000</v>
      </c>
    </row>
    <row r="5" spans="1:13" ht="25.5">
      <c r="A5" s="502">
        <v>2</v>
      </c>
      <c r="B5" s="809" t="s">
        <v>1610</v>
      </c>
      <c r="C5" s="810" t="s">
        <v>1611</v>
      </c>
      <c r="D5" s="810" t="s">
        <v>1612</v>
      </c>
      <c r="E5" s="502">
        <v>45</v>
      </c>
      <c r="F5" s="811">
        <v>77</v>
      </c>
      <c r="G5" s="811">
        <f t="shared" ref="G5:G10" si="0">+E5*F5</f>
        <v>3465</v>
      </c>
      <c r="H5" s="812">
        <v>700</v>
      </c>
      <c r="I5" s="812">
        <v>500</v>
      </c>
      <c r="J5" s="812">
        <f t="shared" ref="J5:J10" si="1">+G5*H5</f>
        <v>2425500</v>
      </c>
      <c r="K5" s="813">
        <f t="shared" ref="K5:K10" si="2">+G5*I5</f>
        <v>1732500</v>
      </c>
      <c r="L5" s="813">
        <f t="shared" ref="L5:L10" si="3">+J5+K5</f>
        <v>4158000</v>
      </c>
    </row>
    <row r="6" spans="1:13" ht="38.25">
      <c r="A6" s="502">
        <v>3</v>
      </c>
      <c r="B6" s="809" t="s">
        <v>1613</v>
      </c>
      <c r="C6" s="810" t="s">
        <v>1614</v>
      </c>
      <c r="D6" s="810" t="s">
        <v>1615</v>
      </c>
      <c r="E6" s="502">
        <v>45</v>
      </c>
      <c r="F6" s="811">
        <v>35</v>
      </c>
      <c r="G6" s="811">
        <f t="shared" si="0"/>
        <v>1575</v>
      </c>
      <c r="H6" s="812">
        <v>700</v>
      </c>
      <c r="I6" s="812">
        <v>500</v>
      </c>
      <c r="J6" s="812">
        <f t="shared" si="1"/>
        <v>1102500</v>
      </c>
      <c r="K6" s="813">
        <f t="shared" si="2"/>
        <v>787500</v>
      </c>
      <c r="L6" s="813">
        <f t="shared" si="3"/>
        <v>1890000</v>
      </c>
    </row>
    <row r="7" spans="1:13" ht="38.25">
      <c r="A7" s="502">
        <v>4</v>
      </c>
      <c r="B7" s="809" t="s">
        <v>1616</v>
      </c>
      <c r="C7" s="810" t="s">
        <v>1617</v>
      </c>
      <c r="D7" s="810" t="s">
        <v>1618</v>
      </c>
      <c r="E7" s="502">
        <v>45</v>
      </c>
      <c r="F7" s="811">
        <v>60</v>
      </c>
      <c r="G7" s="811">
        <f t="shared" si="0"/>
        <v>2700</v>
      </c>
      <c r="H7" s="812">
        <v>700</v>
      </c>
      <c r="I7" s="812">
        <v>500</v>
      </c>
      <c r="J7" s="812">
        <f t="shared" si="1"/>
        <v>1890000</v>
      </c>
      <c r="K7" s="813">
        <f t="shared" si="2"/>
        <v>1350000</v>
      </c>
      <c r="L7" s="813">
        <f t="shared" si="3"/>
        <v>3240000</v>
      </c>
    </row>
    <row r="8" spans="1:13" ht="38.25">
      <c r="A8" s="502">
        <v>5</v>
      </c>
      <c r="B8" s="809" t="s">
        <v>1619</v>
      </c>
      <c r="C8" s="810" t="s">
        <v>1620</v>
      </c>
      <c r="D8" s="814" t="s">
        <v>1621</v>
      </c>
      <c r="E8" s="502">
        <v>45</v>
      </c>
      <c r="F8" s="811">
        <v>70</v>
      </c>
      <c r="G8" s="811">
        <f t="shared" si="0"/>
        <v>3150</v>
      </c>
      <c r="H8" s="812">
        <v>700</v>
      </c>
      <c r="I8" s="812">
        <v>500</v>
      </c>
      <c r="J8" s="812">
        <f t="shared" si="1"/>
        <v>2205000</v>
      </c>
      <c r="K8" s="813">
        <f t="shared" si="2"/>
        <v>1575000</v>
      </c>
      <c r="L8" s="813">
        <f t="shared" si="3"/>
        <v>3780000</v>
      </c>
    </row>
    <row r="9" spans="1:13" ht="25.5">
      <c r="A9" s="502">
        <v>6</v>
      </c>
      <c r="B9" s="809" t="s">
        <v>1622</v>
      </c>
      <c r="C9" s="810" t="s">
        <v>1623</v>
      </c>
      <c r="D9" s="810" t="s">
        <v>1624</v>
      </c>
      <c r="E9" s="502">
        <v>45</v>
      </c>
      <c r="F9" s="811">
        <v>88</v>
      </c>
      <c r="G9" s="811">
        <f t="shared" si="0"/>
        <v>3960</v>
      </c>
      <c r="H9" s="812">
        <v>700</v>
      </c>
      <c r="I9" s="812">
        <v>500</v>
      </c>
      <c r="J9" s="812">
        <f t="shared" si="1"/>
        <v>2772000</v>
      </c>
      <c r="K9" s="813">
        <f t="shared" si="2"/>
        <v>1980000</v>
      </c>
      <c r="L9" s="813">
        <f t="shared" si="3"/>
        <v>4752000</v>
      </c>
    </row>
    <row r="10" spans="1:13" ht="25.5">
      <c r="A10" s="502">
        <v>7</v>
      </c>
      <c r="B10" s="809" t="s">
        <v>1625</v>
      </c>
      <c r="C10" s="810" t="s">
        <v>1626</v>
      </c>
      <c r="D10" s="810" t="s">
        <v>1627</v>
      </c>
      <c r="E10" s="502">
        <v>45</v>
      </c>
      <c r="F10" s="811">
        <v>100</v>
      </c>
      <c r="G10" s="811">
        <f t="shared" si="0"/>
        <v>4500</v>
      </c>
      <c r="H10" s="812">
        <v>700</v>
      </c>
      <c r="I10" s="812">
        <v>500</v>
      </c>
      <c r="J10" s="812">
        <f t="shared" si="1"/>
        <v>3150000</v>
      </c>
      <c r="K10" s="813">
        <f t="shared" si="2"/>
        <v>2250000</v>
      </c>
      <c r="L10" s="813">
        <f t="shared" si="3"/>
        <v>5400000</v>
      </c>
    </row>
    <row r="11" spans="1:13">
      <c r="A11" s="742"/>
      <c r="B11" s="815" t="s">
        <v>156</v>
      </c>
      <c r="C11" s="742"/>
      <c r="D11" s="742"/>
      <c r="E11" s="375"/>
      <c r="F11" s="816"/>
      <c r="G11" s="816"/>
      <c r="H11" s="745"/>
      <c r="I11" s="745"/>
      <c r="J11" s="817">
        <f>SUM(J4:J10)</f>
        <v>16096500</v>
      </c>
      <c r="K11" s="817">
        <f t="shared" ref="K11:L11" si="4">SUM(K4:K10)</f>
        <v>11497500</v>
      </c>
      <c r="L11" s="817">
        <f t="shared" si="4"/>
        <v>27594000</v>
      </c>
    </row>
  </sheetData>
  <mergeCells count="11">
    <mergeCell ref="A2:A3"/>
    <mergeCell ref="B2:B3"/>
    <mergeCell ref="C2:C3"/>
    <mergeCell ref="D2:D3"/>
    <mergeCell ref="E2:E3"/>
    <mergeCell ref="G2:G3"/>
    <mergeCell ref="H2:H3"/>
    <mergeCell ref="I2:I3"/>
    <mergeCell ref="J2:L2"/>
    <mergeCell ref="B1:M1"/>
    <mergeCell ref="F2:F3"/>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C10" sqref="C10"/>
    </sheetView>
  </sheetViews>
  <sheetFormatPr defaultRowHeight="14.25"/>
  <cols>
    <col min="1" max="1" width="5.5703125" style="806" customWidth="1"/>
    <col min="2" max="2" width="26.28515625" style="580" customWidth="1"/>
    <col min="3" max="3" width="14.5703125" style="580" customWidth="1"/>
    <col min="4" max="4" width="18.7109375" style="580" customWidth="1"/>
    <col min="5" max="5" width="14.85546875" style="805" customWidth="1"/>
    <col min="6" max="6" width="15.28515625" style="580" customWidth="1"/>
    <col min="7" max="16384" width="9.140625" style="580"/>
  </cols>
  <sheetData>
    <row r="1" spans="1:6" ht="15">
      <c r="A1" s="1612" t="s">
        <v>1629</v>
      </c>
      <c r="B1" s="1612"/>
      <c r="C1" s="1612"/>
      <c r="D1" s="1612"/>
      <c r="E1" s="1612"/>
      <c r="F1" s="1612"/>
    </row>
    <row r="3" spans="1:6" ht="15">
      <c r="A3" s="818" t="s">
        <v>1</v>
      </c>
      <c r="B3" s="819" t="s">
        <v>1443</v>
      </c>
      <c r="C3" s="819" t="s">
        <v>403</v>
      </c>
      <c r="D3" s="819" t="s">
        <v>315</v>
      </c>
      <c r="E3" s="820" t="s">
        <v>397</v>
      </c>
      <c r="F3" s="22" t="s">
        <v>179</v>
      </c>
    </row>
    <row r="4" spans="1:6">
      <c r="A4" s="579">
        <v>1</v>
      </c>
      <c r="B4" s="95" t="s">
        <v>1630</v>
      </c>
      <c r="C4" s="579" t="s">
        <v>317</v>
      </c>
      <c r="D4" s="579">
        <v>2000</v>
      </c>
      <c r="E4" s="799">
        <v>1650</v>
      </c>
      <c r="F4" s="821">
        <f>+D4*E4</f>
        <v>3300000</v>
      </c>
    </row>
    <row r="5" spans="1:6" ht="15">
      <c r="A5" s="579"/>
      <c r="B5" s="801" t="s">
        <v>284</v>
      </c>
      <c r="C5" s="22"/>
      <c r="D5" s="22"/>
      <c r="E5" s="802"/>
      <c r="F5" s="822">
        <f>+F4</f>
        <v>3300000</v>
      </c>
    </row>
  </sheetData>
  <mergeCells count="1">
    <mergeCell ref="A1:F1"/>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V39" sqref="V39"/>
    </sheetView>
  </sheetViews>
  <sheetFormatPr defaultRowHeight="14.25"/>
  <cols>
    <col min="1" max="1" width="5.5703125" style="806" customWidth="1"/>
    <col min="2" max="2" width="26.28515625" style="580" customWidth="1"/>
    <col min="3" max="3" width="14.5703125" style="580" customWidth="1"/>
    <col min="4" max="4" width="18.7109375" style="580" customWidth="1"/>
    <col min="5" max="5" width="14.85546875" style="805" customWidth="1"/>
    <col min="6" max="6" width="15.28515625" style="580" customWidth="1"/>
    <col min="7" max="16384" width="9.140625" style="580"/>
  </cols>
  <sheetData>
    <row r="1" spans="1:6" ht="15">
      <c r="A1" s="1612" t="s">
        <v>1631</v>
      </c>
      <c r="B1" s="1612"/>
      <c r="C1" s="1612"/>
      <c r="D1" s="1612"/>
      <c r="E1" s="1612"/>
      <c r="F1" s="1612"/>
    </row>
    <row r="3" spans="1:6" ht="15">
      <c r="A3" s="818" t="s">
        <v>1</v>
      </c>
      <c r="B3" s="819" t="s">
        <v>1443</v>
      </c>
      <c r="C3" s="819" t="s">
        <v>403</v>
      </c>
      <c r="D3" s="819" t="s">
        <v>315</v>
      </c>
      <c r="E3" s="820" t="s">
        <v>397</v>
      </c>
      <c r="F3" s="22" t="s">
        <v>179</v>
      </c>
    </row>
    <row r="4" spans="1:6" ht="42.75">
      <c r="A4" s="579">
        <v>1</v>
      </c>
      <c r="B4" s="95" t="s">
        <v>1549</v>
      </c>
      <c r="C4" s="823" t="s">
        <v>1632</v>
      </c>
      <c r="D4" s="823">
        <v>2448</v>
      </c>
      <c r="E4" s="799">
        <v>10000</v>
      </c>
      <c r="F4" s="821">
        <f>+D4*E4</f>
        <v>24480000</v>
      </c>
    </row>
    <row r="5" spans="1:6" ht="15">
      <c r="A5" s="579"/>
      <c r="B5" s="801" t="s">
        <v>284</v>
      </c>
      <c r="C5" s="22"/>
      <c r="D5" s="22"/>
      <c r="E5" s="802"/>
      <c r="F5" s="822">
        <f>+F4</f>
        <v>24480000</v>
      </c>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4"/>
  <sheetViews>
    <sheetView workbookViewId="0">
      <pane xSplit="3" ySplit="6" topLeftCell="D7" activePane="bottomRight" state="frozen"/>
      <selection pane="topRight" activeCell="D1" sqref="D1"/>
      <selection pane="bottomLeft" activeCell="A7" sqref="A7"/>
      <selection pane="bottomRight" activeCell="AA91" sqref="AA91"/>
    </sheetView>
  </sheetViews>
  <sheetFormatPr defaultRowHeight="14.25"/>
  <cols>
    <col min="1" max="1" width="3" bestFit="1" customWidth="1"/>
    <col min="2" max="2" width="13.85546875" bestFit="1" customWidth="1"/>
    <col min="3" max="3" width="14.42578125" bestFit="1" customWidth="1"/>
    <col min="4" max="4" width="38.140625" bestFit="1" customWidth="1"/>
    <col min="5" max="5" width="21.85546875" customWidth="1"/>
    <col min="6" max="6" width="7.42578125" bestFit="1" customWidth="1"/>
    <col min="7" max="7" width="11.28515625" customWidth="1"/>
    <col min="8" max="8" width="11.5703125" customWidth="1"/>
    <col min="9" max="9" width="9.5703125" customWidth="1"/>
    <col min="10" max="10" width="10" customWidth="1"/>
    <col min="11" max="11" width="10.140625" customWidth="1"/>
    <col min="12" max="14" width="4.7109375" customWidth="1"/>
    <col min="15" max="15" width="8.5703125" customWidth="1"/>
    <col min="16" max="16" width="8.7109375" bestFit="1" customWidth="1"/>
    <col min="17" max="17" width="11.85546875" bestFit="1" customWidth="1"/>
    <col min="18" max="20" width="6" customWidth="1"/>
    <col min="21" max="21" width="10.5703125" customWidth="1"/>
    <col min="22" max="22" width="10.28515625" customWidth="1"/>
    <col min="23" max="23" width="11.28515625" bestFit="1" customWidth="1"/>
    <col min="24" max="24" width="10.28515625" bestFit="1" customWidth="1"/>
    <col min="25" max="25" width="11.28515625" bestFit="1" customWidth="1"/>
    <col min="26" max="26" width="13.85546875" style="832" customWidth="1"/>
    <col min="27" max="27" width="16.5703125" style="832" bestFit="1" customWidth="1"/>
  </cols>
  <sheetData>
    <row r="1" spans="1:27" s="1013" customFormat="1" ht="12">
      <c r="R1" s="1014"/>
      <c r="S1" s="1014"/>
      <c r="T1" s="1014"/>
      <c r="U1" s="1014"/>
      <c r="V1" s="1015"/>
      <c r="W1" s="1015"/>
      <c r="X1" s="1015"/>
      <c r="Y1" s="1015"/>
      <c r="Z1" s="1016"/>
      <c r="AA1" s="1016"/>
    </row>
    <row r="2" spans="1:27" s="1041" customFormat="1" ht="12" customHeight="1">
      <c r="A2" s="1236" t="s">
        <v>2516</v>
      </c>
      <c r="B2" s="1236"/>
      <c r="C2" s="1236"/>
      <c r="D2" s="1236"/>
      <c r="E2" s="1236"/>
      <c r="F2" s="1236"/>
      <c r="G2" s="1237" t="s">
        <v>2517</v>
      </c>
      <c r="H2" s="1237"/>
      <c r="I2" s="1237"/>
      <c r="J2" s="1237"/>
      <c r="K2" s="1237"/>
      <c r="L2" s="1237"/>
      <c r="M2" s="1237"/>
      <c r="N2" s="1237"/>
      <c r="O2" s="1237"/>
      <c r="P2" s="1237"/>
      <c r="Q2" s="1237"/>
      <c r="R2" s="1237"/>
      <c r="S2" s="1237"/>
      <c r="T2" s="1237"/>
      <c r="U2" s="1237"/>
      <c r="V2" s="1237"/>
      <c r="W2" s="1237"/>
      <c r="X2" s="1237"/>
      <c r="Y2" s="1237"/>
      <c r="Z2" s="1238" t="s">
        <v>2518</v>
      </c>
      <c r="AA2" s="1238" t="s">
        <v>2519</v>
      </c>
    </row>
    <row r="3" spans="1:27" s="1041" customFormat="1" ht="12" customHeight="1">
      <c r="A3" s="1236" t="s">
        <v>2520</v>
      </c>
      <c r="B3" s="1236" t="s">
        <v>2521</v>
      </c>
      <c r="C3" s="1236" t="s">
        <v>286</v>
      </c>
      <c r="D3" s="1236" t="s">
        <v>2522</v>
      </c>
      <c r="E3" s="1236" t="s">
        <v>2523</v>
      </c>
      <c r="F3" s="1236" t="s">
        <v>2524</v>
      </c>
      <c r="G3" s="1236"/>
      <c r="H3" s="1234" t="s">
        <v>942</v>
      </c>
      <c r="I3" s="1234"/>
      <c r="J3" s="1234"/>
      <c r="K3" s="1234"/>
      <c r="L3" s="1234"/>
      <c r="M3" s="1234"/>
      <c r="N3" s="1234"/>
      <c r="O3" s="1234"/>
      <c r="P3" s="1234"/>
      <c r="Q3" s="1234"/>
      <c r="R3" s="1239" t="s">
        <v>991</v>
      </c>
      <c r="S3" s="1239"/>
      <c r="T3" s="1239"/>
      <c r="U3" s="1239"/>
      <c r="V3" s="1239"/>
      <c r="W3" s="1233" t="s">
        <v>2525</v>
      </c>
      <c r="X3" s="1233"/>
      <c r="Y3" s="1233"/>
      <c r="Z3" s="1238"/>
      <c r="AA3" s="1238"/>
    </row>
    <row r="4" spans="1:27" s="1041" customFormat="1" ht="45" customHeight="1">
      <c r="A4" s="1236"/>
      <c r="B4" s="1236"/>
      <c r="C4" s="1236"/>
      <c r="D4" s="1236"/>
      <c r="E4" s="1236"/>
      <c r="F4" s="1236"/>
      <c r="G4" s="1236"/>
      <c r="H4" s="1234" t="s">
        <v>2526</v>
      </c>
      <c r="I4" s="1234" t="s">
        <v>2527</v>
      </c>
      <c r="J4" s="1234" t="s">
        <v>2528</v>
      </c>
      <c r="K4" s="1234" t="s">
        <v>2529</v>
      </c>
      <c r="L4" s="1234" t="s">
        <v>2530</v>
      </c>
      <c r="M4" s="1234" t="s">
        <v>2531</v>
      </c>
      <c r="N4" s="1234"/>
      <c r="O4" s="1234" t="s">
        <v>2532</v>
      </c>
      <c r="P4" s="1234" t="s">
        <v>2533</v>
      </c>
      <c r="Q4" s="1234" t="s">
        <v>2534</v>
      </c>
      <c r="R4" s="1235" t="s">
        <v>2535</v>
      </c>
      <c r="S4" s="1235" t="s">
        <v>2536</v>
      </c>
      <c r="T4" s="1235"/>
      <c r="U4" s="1235" t="s">
        <v>2537</v>
      </c>
      <c r="V4" s="1235" t="s">
        <v>2538</v>
      </c>
      <c r="W4" s="1233" t="s">
        <v>530</v>
      </c>
      <c r="X4" s="1233" t="s">
        <v>992</v>
      </c>
      <c r="Y4" s="1233" t="s">
        <v>2539</v>
      </c>
      <c r="Z4" s="1238"/>
      <c r="AA4" s="1238"/>
    </row>
    <row r="5" spans="1:27" s="1041" customFormat="1" ht="96" customHeight="1">
      <c r="A5" s="1236"/>
      <c r="B5" s="1236"/>
      <c r="C5" s="1236"/>
      <c r="D5" s="1236"/>
      <c r="E5" s="1236"/>
      <c r="F5" s="1017" t="s">
        <v>2540</v>
      </c>
      <c r="G5" s="1017" t="s">
        <v>2541</v>
      </c>
      <c r="H5" s="1234"/>
      <c r="I5" s="1234"/>
      <c r="J5" s="1234"/>
      <c r="K5" s="1234"/>
      <c r="L5" s="1234"/>
      <c r="M5" s="1018" t="s">
        <v>2542</v>
      </c>
      <c r="N5" s="1018" t="s">
        <v>2543</v>
      </c>
      <c r="O5" s="1234"/>
      <c r="P5" s="1234"/>
      <c r="Q5" s="1234"/>
      <c r="R5" s="1235"/>
      <c r="S5" s="1019" t="s">
        <v>2544</v>
      </c>
      <c r="T5" s="1019" t="s">
        <v>2545</v>
      </c>
      <c r="U5" s="1235"/>
      <c r="V5" s="1235"/>
      <c r="W5" s="1233"/>
      <c r="X5" s="1233"/>
      <c r="Y5" s="1233"/>
      <c r="Z5" s="1238"/>
      <c r="AA5" s="1238"/>
    </row>
    <row r="6" spans="1:27" s="1042" customFormat="1" ht="18" customHeight="1">
      <c r="A6" s="448">
        <v>1</v>
      </c>
      <c r="B6" s="448">
        <v>2</v>
      </c>
      <c r="C6" s="448">
        <v>3</v>
      </c>
      <c r="D6" s="448">
        <v>4</v>
      </c>
      <c r="E6" s="448">
        <v>5</v>
      </c>
      <c r="F6" s="448">
        <v>6</v>
      </c>
      <c r="G6" s="448">
        <v>7</v>
      </c>
      <c r="H6" s="448">
        <v>8</v>
      </c>
      <c r="I6" s="448">
        <v>9</v>
      </c>
      <c r="J6" s="448">
        <v>10</v>
      </c>
      <c r="K6" s="448">
        <v>11</v>
      </c>
      <c r="L6" s="448">
        <v>12</v>
      </c>
      <c r="M6" s="448">
        <v>13</v>
      </c>
      <c r="N6" s="448">
        <v>14</v>
      </c>
      <c r="O6" s="448">
        <v>15</v>
      </c>
      <c r="P6" s="448">
        <v>16</v>
      </c>
      <c r="Q6" s="1020" t="s">
        <v>2546</v>
      </c>
      <c r="R6" s="448">
        <v>18</v>
      </c>
      <c r="S6" s="448">
        <v>19</v>
      </c>
      <c r="T6" s="448">
        <v>20</v>
      </c>
      <c r="U6" s="448">
        <v>21</v>
      </c>
      <c r="V6" s="1020" t="s">
        <v>2547</v>
      </c>
      <c r="W6" s="448">
        <v>23</v>
      </c>
      <c r="X6" s="448">
        <v>24</v>
      </c>
      <c r="Y6" s="1020" t="s">
        <v>2548</v>
      </c>
      <c r="Z6" s="1021" t="s">
        <v>2549</v>
      </c>
      <c r="AA6" s="1022" t="s">
        <v>2550</v>
      </c>
    </row>
    <row r="7" spans="1:27">
      <c r="A7" s="1023">
        <v>1</v>
      </c>
      <c r="B7" s="1024" t="s">
        <v>2551</v>
      </c>
      <c r="C7" s="1024" t="s">
        <v>2552</v>
      </c>
      <c r="D7" s="9"/>
      <c r="E7" s="520" t="s">
        <v>807</v>
      </c>
      <c r="F7" s="520" t="s">
        <v>2553</v>
      </c>
      <c r="G7" s="530">
        <v>962147</v>
      </c>
      <c r="H7" s="530">
        <f>G7*5%</f>
        <v>48107.350000000006</v>
      </c>
      <c r="I7" s="530"/>
      <c r="J7" s="530"/>
      <c r="K7" s="530">
        <f>G7*0.1</f>
        <v>96214.700000000012</v>
      </c>
      <c r="L7" s="530"/>
      <c r="M7" s="9"/>
      <c r="N7" s="9"/>
      <c r="O7" s="9"/>
      <c r="P7" s="530"/>
      <c r="Q7" s="1025">
        <f>SUM(H7:P7)</f>
        <v>144322.05000000002</v>
      </c>
      <c r="R7" s="1023"/>
      <c r="S7" s="1023"/>
      <c r="T7" s="1023"/>
      <c r="U7" s="1026">
        <f>(G7*40%)/3</f>
        <v>128286.26666666668</v>
      </c>
      <c r="V7" s="1027">
        <f>SUM(R7:U7)</f>
        <v>128286.26666666668</v>
      </c>
      <c r="W7" s="530">
        <v>132000</v>
      </c>
      <c r="X7" s="530">
        <v>26400</v>
      </c>
      <c r="Y7" s="1027">
        <f>+W7+X7</f>
        <v>158400</v>
      </c>
      <c r="Z7" s="1028">
        <f>+Q7+Y7+V7+G7</f>
        <v>1393155.3166666667</v>
      </c>
      <c r="AA7" s="1028">
        <f>+Z7*12</f>
        <v>16717863.800000001</v>
      </c>
    </row>
    <row r="8" spans="1:27" ht="28.5">
      <c r="A8" s="1023">
        <v>2</v>
      </c>
      <c r="B8" s="1029" t="s">
        <v>2551</v>
      </c>
      <c r="C8" s="1029" t="s">
        <v>2554</v>
      </c>
      <c r="D8" s="541" t="s">
        <v>998</v>
      </c>
      <c r="E8" s="529" t="s">
        <v>240</v>
      </c>
      <c r="F8" s="521" t="s">
        <v>241</v>
      </c>
      <c r="G8" s="530">
        <v>901079</v>
      </c>
      <c r="H8" s="530">
        <f>G8*15%</f>
        <v>135161.85</v>
      </c>
      <c r="I8" s="530"/>
      <c r="J8" s="530">
        <f>+G8*0.2</f>
        <v>180215.80000000002</v>
      </c>
      <c r="K8" s="530">
        <f>G8*0.1</f>
        <v>90107.900000000009</v>
      </c>
      <c r="L8" s="530"/>
      <c r="M8" s="9"/>
      <c r="N8" s="9"/>
      <c r="O8" s="9"/>
      <c r="P8" s="530"/>
      <c r="Q8" s="1025">
        <f t="shared" ref="Q8:Q74" si="0">SUM(H8:P8)</f>
        <v>405485.55000000005</v>
      </c>
      <c r="R8" s="1023"/>
      <c r="S8" s="1023"/>
      <c r="T8" s="1023"/>
      <c r="U8" s="1026">
        <f t="shared" ref="U8:U72" si="1">(G8*40%)/3</f>
        <v>120143.86666666668</v>
      </c>
      <c r="V8" s="1027">
        <f t="shared" ref="V8:V72" si="2">SUM(R8:U8)</f>
        <v>120143.86666666668</v>
      </c>
      <c r="W8" s="530">
        <v>132000</v>
      </c>
      <c r="X8" s="530">
        <v>26400</v>
      </c>
      <c r="Y8" s="1027">
        <f t="shared" ref="Y8:Y74" si="3">+W8+X8</f>
        <v>158400</v>
      </c>
      <c r="Z8" s="1028">
        <f t="shared" ref="Z8:Z72" si="4">+Q8+Y8+V8+G8</f>
        <v>1585108.4166666667</v>
      </c>
      <c r="AA8" s="1028">
        <f t="shared" ref="AA8:AA72" si="5">+Z8*12</f>
        <v>19021301</v>
      </c>
    </row>
    <row r="9" spans="1:27" ht="28.5">
      <c r="A9" s="1023">
        <v>3</v>
      </c>
      <c r="B9" s="1029" t="s">
        <v>2555</v>
      </c>
      <c r="C9" s="1029" t="s">
        <v>2556</v>
      </c>
      <c r="D9" s="541" t="s">
        <v>998</v>
      </c>
      <c r="E9" s="529" t="s">
        <v>245</v>
      </c>
      <c r="F9" s="529" t="s">
        <v>254</v>
      </c>
      <c r="G9" s="530">
        <v>740561</v>
      </c>
      <c r="H9" s="1030">
        <f>G9*10%</f>
        <v>74056.100000000006</v>
      </c>
      <c r="I9" s="530"/>
      <c r="J9" s="530">
        <f>+G9*0.2</f>
        <v>148112.20000000001</v>
      </c>
      <c r="K9" s="530">
        <f>+G9*0.1</f>
        <v>74056.100000000006</v>
      </c>
      <c r="L9" s="530"/>
      <c r="M9" s="9"/>
      <c r="N9" s="9"/>
      <c r="O9" s="9"/>
      <c r="P9" s="530"/>
      <c r="Q9" s="1025">
        <f t="shared" si="0"/>
        <v>296224.40000000002</v>
      </c>
      <c r="R9" s="1023"/>
      <c r="S9" s="1023"/>
      <c r="T9" s="1023"/>
      <c r="U9" s="1026">
        <f t="shared" si="1"/>
        <v>98741.466666666674</v>
      </c>
      <c r="V9" s="1027">
        <f t="shared" si="2"/>
        <v>98741.466666666674</v>
      </c>
      <c r="W9" s="530">
        <v>132000</v>
      </c>
      <c r="X9" s="530">
        <v>26400</v>
      </c>
      <c r="Y9" s="1027">
        <f t="shared" si="3"/>
        <v>158400</v>
      </c>
      <c r="Z9" s="1028">
        <f t="shared" si="4"/>
        <v>1293926.8666666667</v>
      </c>
      <c r="AA9" s="1028">
        <f t="shared" si="5"/>
        <v>15527122.4</v>
      </c>
    </row>
    <row r="10" spans="1:27" ht="28.5">
      <c r="A10" s="1023">
        <v>4</v>
      </c>
      <c r="B10" s="1029" t="s">
        <v>2557</v>
      </c>
      <c r="C10" s="1029" t="s">
        <v>2558</v>
      </c>
      <c r="D10" s="541" t="s">
        <v>998</v>
      </c>
      <c r="E10" s="529" t="s">
        <v>245</v>
      </c>
      <c r="F10" s="529" t="s">
        <v>1001</v>
      </c>
      <c r="G10" s="530">
        <v>669861</v>
      </c>
      <c r="H10" s="1030"/>
      <c r="I10" s="530"/>
      <c r="J10" s="530"/>
      <c r="K10" s="530"/>
      <c r="L10" s="530"/>
      <c r="M10" s="9"/>
      <c r="N10" s="9"/>
      <c r="O10" s="9"/>
      <c r="P10" s="530"/>
      <c r="Q10" s="1025">
        <f t="shared" si="0"/>
        <v>0</v>
      </c>
      <c r="R10" s="1023"/>
      <c r="S10" s="1023"/>
      <c r="T10" s="1023"/>
      <c r="U10" s="1026">
        <f t="shared" si="1"/>
        <v>89314.8</v>
      </c>
      <c r="V10" s="1027">
        <f t="shared" si="2"/>
        <v>89314.8</v>
      </c>
      <c r="W10" s="530">
        <v>132000</v>
      </c>
      <c r="X10" s="530">
        <v>26400</v>
      </c>
      <c r="Y10" s="1027">
        <f t="shared" si="3"/>
        <v>158400</v>
      </c>
      <c r="Z10" s="1028">
        <f t="shared" si="4"/>
        <v>917575.8</v>
      </c>
      <c r="AA10" s="1028">
        <f t="shared" si="5"/>
        <v>11010909.600000001</v>
      </c>
    </row>
    <row r="11" spans="1:27" ht="28.5">
      <c r="A11" s="1023">
        <v>5</v>
      </c>
      <c r="B11" s="1029" t="s">
        <v>2559</v>
      </c>
      <c r="C11" s="1029" t="s">
        <v>2560</v>
      </c>
      <c r="D11" s="541" t="s">
        <v>998</v>
      </c>
      <c r="E11" s="529" t="s">
        <v>253</v>
      </c>
      <c r="F11" s="529" t="s">
        <v>244</v>
      </c>
      <c r="G11" s="530">
        <v>740561</v>
      </c>
      <c r="H11" s="1030">
        <f>G11*15%</f>
        <v>111084.15</v>
      </c>
      <c r="I11" s="530"/>
      <c r="J11" s="530">
        <f>+G11*0.2</f>
        <v>148112.20000000001</v>
      </c>
      <c r="K11" s="530">
        <f>+G11*0.1</f>
        <v>74056.100000000006</v>
      </c>
      <c r="L11" s="530"/>
      <c r="M11" s="9"/>
      <c r="N11" s="9"/>
      <c r="O11" s="9"/>
      <c r="P11" s="530"/>
      <c r="Q11" s="1025">
        <f t="shared" si="0"/>
        <v>333252.45</v>
      </c>
      <c r="R11" s="1023"/>
      <c r="S11" s="1023"/>
      <c r="T11" s="1023"/>
      <c r="U11" s="1026">
        <f t="shared" si="1"/>
        <v>98741.466666666674</v>
      </c>
      <c r="V11" s="1027">
        <f t="shared" si="2"/>
        <v>98741.466666666674</v>
      </c>
      <c r="W11" s="530">
        <v>132000</v>
      </c>
      <c r="X11" s="530">
        <v>26400</v>
      </c>
      <c r="Y11" s="1027">
        <f t="shared" si="3"/>
        <v>158400</v>
      </c>
      <c r="Z11" s="1028">
        <f t="shared" si="4"/>
        <v>1330954.9166666667</v>
      </c>
      <c r="AA11" s="1028">
        <f t="shared" si="5"/>
        <v>15971459</v>
      </c>
    </row>
    <row r="12" spans="1:27" ht="28.5">
      <c r="A12" s="1023">
        <v>6</v>
      </c>
      <c r="B12" s="1029" t="s">
        <v>2561</v>
      </c>
      <c r="C12" s="1029" t="s">
        <v>2562</v>
      </c>
      <c r="D12" s="541" t="s">
        <v>998</v>
      </c>
      <c r="E12" s="1031" t="s">
        <v>2563</v>
      </c>
      <c r="F12" s="529" t="s">
        <v>1006</v>
      </c>
      <c r="G12" s="530">
        <v>770701</v>
      </c>
      <c r="H12" s="1030">
        <f>G12*5%</f>
        <v>38535.050000000003</v>
      </c>
      <c r="I12" s="530"/>
      <c r="J12" s="530">
        <f>G12*0.3</f>
        <v>231210.3</v>
      </c>
      <c r="K12" s="530"/>
      <c r="L12" s="530"/>
      <c r="M12" s="9"/>
      <c r="N12" s="9"/>
      <c r="O12" s="9"/>
      <c r="P12" s="530"/>
      <c r="Q12" s="1025">
        <f t="shared" si="0"/>
        <v>269745.34999999998</v>
      </c>
      <c r="R12" s="1023"/>
      <c r="S12" s="1023"/>
      <c r="T12" s="1023"/>
      <c r="U12" s="1026">
        <f t="shared" si="1"/>
        <v>102760.13333333335</v>
      </c>
      <c r="V12" s="1027">
        <f t="shared" si="2"/>
        <v>102760.13333333335</v>
      </c>
      <c r="W12" s="530">
        <v>132000</v>
      </c>
      <c r="X12" s="530">
        <v>26400</v>
      </c>
      <c r="Y12" s="1027">
        <f t="shared" si="3"/>
        <v>158400</v>
      </c>
      <c r="Z12" s="1028">
        <f t="shared" si="4"/>
        <v>1301606.4833333334</v>
      </c>
      <c r="AA12" s="1028">
        <f t="shared" si="5"/>
        <v>15619277.800000001</v>
      </c>
    </row>
    <row r="13" spans="1:27" ht="28.5">
      <c r="A13" s="1023">
        <v>7</v>
      </c>
      <c r="B13" s="1032" t="s">
        <v>2564</v>
      </c>
      <c r="C13" s="1032" t="s">
        <v>2565</v>
      </c>
      <c r="D13" s="541" t="s">
        <v>998</v>
      </c>
      <c r="E13" s="529" t="s">
        <v>245</v>
      </c>
      <c r="F13" s="529" t="s">
        <v>264</v>
      </c>
      <c r="G13" s="530">
        <v>651503</v>
      </c>
      <c r="H13" s="526"/>
      <c r="I13" s="526"/>
      <c r="J13" s="526"/>
      <c r="K13" s="530"/>
      <c r="L13" s="530"/>
      <c r="M13" s="9"/>
      <c r="N13" s="9"/>
      <c r="O13" s="9"/>
      <c r="P13" s="526"/>
      <c r="Q13" s="1025">
        <f t="shared" si="0"/>
        <v>0</v>
      </c>
      <c r="R13" s="1023"/>
      <c r="S13" s="1023"/>
      <c r="T13" s="1023"/>
      <c r="U13" s="1026">
        <f t="shared" si="1"/>
        <v>86867.066666666666</v>
      </c>
      <c r="V13" s="1027">
        <f t="shared" si="2"/>
        <v>86867.066666666666</v>
      </c>
      <c r="W13" s="530">
        <v>132000</v>
      </c>
      <c r="X13" s="530">
        <v>26400</v>
      </c>
      <c r="Y13" s="1027">
        <f t="shared" si="3"/>
        <v>158400</v>
      </c>
      <c r="Z13" s="1028">
        <f t="shared" si="4"/>
        <v>896770.06666666665</v>
      </c>
      <c r="AA13" s="1028">
        <f t="shared" si="5"/>
        <v>10761240.800000001</v>
      </c>
    </row>
    <row r="14" spans="1:27" ht="28.5">
      <c r="A14" s="1023">
        <v>8</v>
      </c>
      <c r="B14" s="1032" t="s">
        <v>2566</v>
      </c>
      <c r="C14" s="1032" t="s">
        <v>2567</v>
      </c>
      <c r="D14" s="541" t="s">
        <v>998</v>
      </c>
      <c r="E14" s="529" t="s">
        <v>245</v>
      </c>
      <c r="F14" s="529" t="s">
        <v>264</v>
      </c>
      <c r="G14" s="530">
        <v>651503</v>
      </c>
      <c r="H14" s="526"/>
      <c r="I14" s="526"/>
      <c r="J14" s="526"/>
      <c r="K14" s="530"/>
      <c r="L14" s="530"/>
      <c r="M14" s="9"/>
      <c r="N14" s="9"/>
      <c r="O14" s="9"/>
      <c r="P14" s="526"/>
      <c r="Q14" s="1025">
        <f t="shared" si="0"/>
        <v>0</v>
      </c>
      <c r="R14" s="1023"/>
      <c r="S14" s="1023"/>
      <c r="T14" s="1023"/>
      <c r="U14" s="1026">
        <f t="shared" si="1"/>
        <v>86867.066666666666</v>
      </c>
      <c r="V14" s="1027">
        <f t="shared" si="2"/>
        <v>86867.066666666666</v>
      </c>
      <c r="W14" s="530">
        <v>132000</v>
      </c>
      <c r="X14" s="530">
        <v>26400</v>
      </c>
      <c r="Y14" s="1027">
        <f t="shared" si="3"/>
        <v>158400</v>
      </c>
      <c r="Z14" s="1028">
        <f t="shared" si="4"/>
        <v>896770.06666666665</v>
      </c>
      <c r="AA14" s="1028">
        <f t="shared" si="5"/>
        <v>10761240.800000001</v>
      </c>
    </row>
    <row r="15" spans="1:27" ht="28.5">
      <c r="A15" s="1023">
        <v>9</v>
      </c>
      <c r="B15" s="1032" t="s">
        <v>2568</v>
      </c>
      <c r="C15" s="1032" t="s">
        <v>2569</v>
      </c>
      <c r="D15" s="541" t="s">
        <v>998</v>
      </c>
      <c r="E15" s="529" t="s">
        <v>245</v>
      </c>
      <c r="F15" s="529" t="s">
        <v>1001</v>
      </c>
      <c r="G15" s="530">
        <v>669861</v>
      </c>
      <c r="H15" s="526"/>
      <c r="I15" s="526"/>
      <c r="J15" s="526">
        <f>G15*0.25</f>
        <v>167465.25</v>
      </c>
      <c r="K15" s="530"/>
      <c r="L15" s="530"/>
      <c r="M15" s="9"/>
      <c r="N15" s="9"/>
      <c r="O15" s="9"/>
      <c r="P15" s="526"/>
      <c r="Q15" s="1025">
        <f t="shared" si="0"/>
        <v>167465.25</v>
      </c>
      <c r="R15" s="1023"/>
      <c r="S15" s="1023"/>
      <c r="T15" s="1023"/>
      <c r="U15" s="1026">
        <f t="shared" si="1"/>
        <v>89314.8</v>
      </c>
      <c r="V15" s="1027">
        <f t="shared" si="2"/>
        <v>89314.8</v>
      </c>
      <c r="W15" s="530">
        <v>132000</v>
      </c>
      <c r="X15" s="530">
        <v>26400</v>
      </c>
      <c r="Y15" s="1027">
        <f t="shared" si="3"/>
        <v>158400</v>
      </c>
      <c r="Z15" s="1028">
        <f t="shared" si="4"/>
        <v>1085041.05</v>
      </c>
      <c r="AA15" s="1028">
        <f t="shared" si="5"/>
        <v>13020492.600000001</v>
      </c>
    </row>
    <row r="16" spans="1:27" ht="28.5">
      <c r="A16" s="1023">
        <v>10</v>
      </c>
      <c r="B16" s="1032" t="s">
        <v>2570</v>
      </c>
      <c r="C16" s="1032" t="s">
        <v>2571</v>
      </c>
      <c r="D16" s="541" t="s">
        <v>998</v>
      </c>
      <c r="E16" s="529" t="s">
        <v>253</v>
      </c>
      <c r="F16" s="529" t="s">
        <v>244</v>
      </c>
      <c r="G16" s="530">
        <v>740561</v>
      </c>
      <c r="H16" s="526"/>
      <c r="I16" s="526"/>
      <c r="J16" s="530">
        <f>+G16*0.2</f>
        <v>148112.20000000001</v>
      </c>
      <c r="K16" s="530"/>
      <c r="L16" s="530"/>
      <c r="M16" s="9"/>
      <c r="N16" s="9"/>
      <c r="O16" s="9"/>
      <c r="P16" s="526"/>
      <c r="Q16" s="1025">
        <f t="shared" si="0"/>
        <v>148112.20000000001</v>
      </c>
      <c r="R16" s="1023"/>
      <c r="S16" s="1023"/>
      <c r="T16" s="1023"/>
      <c r="U16" s="1026">
        <f t="shared" si="1"/>
        <v>98741.466666666674</v>
      </c>
      <c r="V16" s="1027">
        <f t="shared" si="2"/>
        <v>98741.466666666674</v>
      </c>
      <c r="W16" s="530">
        <v>132000</v>
      </c>
      <c r="X16" s="530">
        <v>26400</v>
      </c>
      <c r="Y16" s="1027">
        <f t="shared" si="3"/>
        <v>158400</v>
      </c>
      <c r="Z16" s="1028">
        <f t="shared" si="4"/>
        <v>1145814.6666666667</v>
      </c>
      <c r="AA16" s="1028">
        <f t="shared" si="5"/>
        <v>13749776</v>
      </c>
    </row>
    <row r="17" spans="1:27">
      <c r="A17" s="1023">
        <v>11</v>
      </c>
      <c r="B17" s="1033" t="s">
        <v>2572</v>
      </c>
      <c r="C17" s="1033" t="s">
        <v>2552</v>
      </c>
      <c r="D17" s="563" t="s">
        <v>1008</v>
      </c>
      <c r="E17" s="521" t="s">
        <v>826</v>
      </c>
      <c r="F17" s="521" t="s">
        <v>241</v>
      </c>
      <c r="G17" s="530">
        <v>901079</v>
      </c>
      <c r="H17" s="1030">
        <f>G17*10%</f>
        <v>90107.900000000009</v>
      </c>
      <c r="I17" s="533"/>
      <c r="J17" s="526">
        <f>+G17*0.2</f>
        <v>180215.80000000002</v>
      </c>
      <c r="K17" s="530"/>
      <c r="L17" s="530"/>
      <c r="M17" s="9"/>
      <c r="N17" s="9"/>
      <c r="O17" s="9"/>
      <c r="P17" s="533"/>
      <c r="Q17" s="1025">
        <f t="shared" si="0"/>
        <v>270323.7</v>
      </c>
      <c r="R17" s="1023"/>
      <c r="S17" s="1023"/>
      <c r="T17" s="1023"/>
      <c r="U17" s="1026">
        <f t="shared" si="1"/>
        <v>120143.86666666668</v>
      </c>
      <c r="V17" s="1027">
        <f t="shared" si="2"/>
        <v>120143.86666666668</v>
      </c>
      <c r="W17" s="530">
        <v>132000</v>
      </c>
      <c r="X17" s="530">
        <v>26400</v>
      </c>
      <c r="Y17" s="1027">
        <f t="shared" si="3"/>
        <v>158400</v>
      </c>
      <c r="Z17" s="1028">
        <f t="shared" si="4"/>
        <v>1449946.5666666667</v>
      </c>
      <c r="AA17" s="1028">
        <f t="shared" si="5"/>
        <v>17399358.800000001</v>
      </c>
    </row>
    <row r="18" spans="1:27">
      <c r="A18" s="1023">
        <v>12</v>
      </c>
      <c r="B18" s="1029" t="s">
        <v>2573</v>
      </c>
      <c r="C18" s="1029" t="s">
        <v>2574</v>
      </c>
      <c r="D18" s="563" t="s">
        <v>1008</v>
      </c>
      <c r="E18" s="529" t="s">
        <v>1005</v>
      </c>
      <c r="F18" s="529" t="s">
        <v>1006</v>
      </c>
      <c r="G18" s="530">
        <v>770701</v>
      </c>
      <c r="H18" s="1030">
        <f>G18*15%</f>
        <v>115605.15</v>
      </c>
      <c r="I18" s="530"/>
      <c r="J18" s="530">
        <f>G18*0.3</f>
        <v>231210.3</v>
      </c>
      <c r="K18" s="530">
        <f>+G18*0.15</f>
        <v>115605.15</v>
      </c>
      <c r="L18" s="530"/>
      <c r="M18" s="9"/>
      <c r="N18" s="9"/>
      <c r="O18" s="9"/>
      <c r="P18" s="530"/>
      <c r="Q18" s="1025">
        <f t="shared" si="0"/>
        <v>462420.6</v>
      </c>
      <c r="R18" s="1023"/>
      <c r="S18" s="1023"/>
      <c r="T18" s="1023"/>
      <c r="U18" s="1026">
        <f t="shared" si="1"/>
        <v>102760.13333333335</v>
      </c>
      <c r="V18" s="1027">
        <f t="shared" si="2"/>
        <v>102760.13333333335</v>
      </c>
      <c r="W18" s="530">
        <v>132000</v>
      </c>
      <c r="X18" s="530">
        <v>26400</v>
      </c>
      <c r="Y18" s="1027">
        <f t="shared" si="3"/>
        <v>158400</v>
      </c>
      <c r="Z18" s="1028">
        <f t="shared" si="4"/>
        <v>1494281.7333333334</v>
      </c>
      <c r="AA18" s="1028">
        <f t="shared" si="5"/>
        <v>17931380.800000001</v>
      </c>
    </row>
    <row r="19" spans="1:27">
      <c r="A19" s="1023">
        <v>13</v>
      </c>
      <c r="B19" s="1029" t="s">
        <v>2575</v>
      </c>
      <c r="C19" s="1029" t="s">
        <v>2576</v>
      </c>
      <c r="D19" s="563" t="s">
        <v>1008</v>
      </c>
      <c r="E19" s="529" t="s">
        <v>163</v>
      </c>
      <c r="F19" s="529" t="s">
        <v>1001</v>
      </c>
      <c r="G19" s="530">
        <v>669861</v>
      </c>
      <c r="H19" s="1030">
        <f>G19*10%</f>
        <v>66986.100000000006</v>
      </c>
      <c r="I19" s="530"/>
      <c r="J19" s="530"/>
      <c r="K19" s="530">
        <f>+G19*0.1</f>
        <v>66986.100000000006</v>
      </c>
      <c r="L19" s="530"/>
      <c r="M19" s="9"/>
      <c r="N19" s="9"/>
      <c r="O19" s="9"/>
      <c r="P19" s="530"/>
      <c r="Q19" s="1025">
        <f t="shared" si="0"/>
        <v>133972.20000000001</v>
      </c>
      <c r="R19" s="1023"/>
      <c r="S19" s="1023"/>
      <c r="T19" s="1023"/>
      <c r="U19" s="1026">
        <f t="shared" si="1"/>
        <v>89314.8</v>
      </c>
      <c r="V19" s="1027">
        <f t="shared" si="2"/>
        <v>89314.8</v>
      </c>
      <c r="W19" s="530">
        <v>132000</v>
      </c>
      <c r="X19" s="530">
        <v>26400</v>
      </c>
      <c r="Y19" s="1027">
        <f t="shared" si="3"/>
        <v>158400</v>
      </c>
      <c r="Z19" s="1028">
        <f t="shared" si="4"/>
        <v>1051548</v>
      </c>
      <c r="AA19" s="1028">
        <f t="shared" si="5"/>
        <v>12618576</v>
      </c>
    </row>
    <row r="20" spans="1:27">
      <c r="A20" s="1023">
        <v>14</v>
      </c>
      <c r="B20" s="1029" t="s">
        <v>2577</v>
      </c>
      <c r="C20" s="1029" t="s">
        <v>2578</v>
      </c>
      <c r="D20" s="563" t="s">
        <v>1008</v>
      </c>
      <c r="E20" s="529" t="s">
        <v>163</v>
      </c>
      <c r="F20" s="529" t="s">
        <v>244</v>
      </c>
      <c r="G20" s="530">
        <v>740561</v>
      </c>
      <c r="H20" s="1030">
        <f>G20*15%</f>
        <v>111084.15</v>
      </c>
      <c r="I20" s="530"/>
      <c r="J20" s="530">
        <f>+G20*0.3</f>
        <v>222168.3</v>
      </c>
      <c r="K20" s="530">
        <f>+G20*0.15</f>
        <v>111084.15</v>
      </c>
      <c r="L20" s="530"/>
      <c r="M20" s="9"/>
      <c r="N20" s="9"/>
      <c r="O20" s="9"/>
      <c r="P20" s="530"/>
      <c r="Q20" s="1025">
        <f t="shared" si="0"/>
        <v>444336.6</v>
      </c>
      <c r="R20" s="1023"/>
      <c r="S20" s="1023"/>
      <c r="T20" s="1023"/>
      <c r="U20" s="1026">
        <f t="shared" si="1"/>
        <v>98741.466666666674</v>
      </c>
      <c r="V20" s="1027">
        <f t="shared" si="2"/>
        <v>98741.466666666674</v>
      </c>
      <c r="W20" s="530">
        <v>132000</v>
      </c>
      <c r="X20" s="530">
        <v>26400</v>
      </c>
      <c r="Y20" s="1027">
        <f t="shared" si="3"/>
        <v>158400</v>
      </c>
      <c r="Z20" s="1028">
        <f t="shared" si="4"/>
        <v>1442039.0666666667</v>
      </c>
      <c r="AA20" s="1028">
        <f t="shared" si="5"/>
        <v>17304468.800000001</v>
      </c>
    </row>
    <row r="21" spans="1:27">
      <c r="A21" s="1023">
        <v>15</v>
      </c>
      <c r="B21" s="1029" t="s">
        <v>2579</v>
      </c>
      <c r="C21" s="1029" t="s">
        <v>2580</v>
      </c>
      <c r="D21" s="563" t="s">
        <v>1008</v>
      </c>
      <c r="E21" s="529" t="s">
        <v>163</v>
      </c>
      <c r="F21" s="529" t="s">
        <v>254</v>
      </c>
      <c r="G21" s="530">
        <v>740561</v>
      </c>
      <c r="H21" s="1030">
        <f>G21*20%</f>
        <v>148112.20000000001</v>
      </c>
      <c r="I21" s="530"/>
      <c r="J21" s="530"/>
      <c r="K21" s="530">
        <f>+G21*0.1</f>
        <v>74056.100000000006</v>
      </c>
      <c r="L21" s="530"/>
      <c r="M21" s="9"/>
      <c r="N21" s="9"/>
      <c r="O21" s="9"/>
      <c r="P21" s="530"/>
      <c r="Q21" s="1025">
        <f t="shared" si="0"/>
        <v>222168.30000000002</v>
      </c>
      <c r="R21" s="1023"/>
      <c r="S21" s="1023"/>
      <c r="T21" s="1023"/>
      <c r="U21" s="1026">
        <f t="shared" si="1"/>
        <v>98741.466666666674</v>
      </c>
      <c r="V21" s="1027">
        <f t="shared" si="2"/>
        <v>98741.466666666674</v>
      </c>
      <c r="W21" s="530">
        <v>132000</v>
      </c>
      <c r="X21" s="530">
        <v>26400</v>
      </c>
      <c r="Y21" s="1027">
        <f t="shared" si="3"/>
        <v>158400</v>
      </c>
      <c r="Z21" s="1028">
        <f t="shared" si="4"/>
        <v>1219870.7666666666</v>
      </c>
      <c r="AA21" s="1028">
        <f t="shared" si="5"/>
        <v>14638449.199999999</v>
      </c>
    </row>
    <row r="22" spans="1:27">
      <c r="A22" s="1023">
        <v>16</v>
      </c>
      <c r="B22" s="1033" t="s">
        <v>2581</v>
      </c>
      <c r="C22" s="1033" t="s">
        <v>2582</v>
      </c>
      <c r="D22" s="563" t="s">
        <v>1008</v>
      </c>
      <c r="E22" s="529" t="s">
        <v>253</v>
      </c>
      <c r="F22" s="529" t="s">
        <v>1001</v>
      </c>
      <c r="G22" s="530">
        <v>669861</v>
      </c>
      <c r="H22" s="530"/>
      <c r="I22" s="530"/>
      <c r="J22" s="530"/>
      <c r="K22" s="530"/>
      <c r="L22" s="530"/>
      <c r="M22" s="9"/>
      <c r="N22" s="9"/>
      <c r="O22" s="9"/>
      <c r="P22" s="530"/>
      <c r="Q22" s="1025">
        <f t="shared" si="0"/>
        <v>0</v>
      </c>
      <c r="R22" s="1023"/>
      <c r="S22" s="1023"/>
      <c r="T22" s="1023"/>
      <c r="U22" s="1026">
        <f t="shared" si="1"/>
        <v>89314.8</v>
      </c>
      <c r="V22" s="1027">
        <f t="shared" si="2"/>
        <v>89314.8</v>
      </c>
      <c r="W22" s="530">
        <v>132000</v>
      </c>
      <c r="X22" s="530">
        <v>26400</v>
      </c>
      <c r="Y22" s="1027">
        <f t="shared" si="3"/>
        <v>158400</v>
      </c>
      <c r="Z22" s="1028">
        <f t="shared" si="4"/>
        <v>917575.8</v>
      </c>
      <c r="AA22" s="1028">
        <f t="shared" si="5"/>
        <v>11010909.600000001</v>
      </c>
    </row>
    <row r="23" spans="1:27">
      <c r="A23" s="1023">
        <v>17</v>
      </c>
      <c r="B23" s="1032" t="s">
        <v>2561</v>
      </c>
      <c r="C23" s="1032" t="s">
        <v>2583</v>
      </c>
      <c r="D23" s="563" t="s">
        <v>1008</v>
      </c>
      <c r="E23" s="529" t="s">
        <v>253</v>
      </c>
      <c r="F23" s="529" t="s">
        <v>264</v>
      </c>
      <c r="G23" s="530">
        <v>651503</v>
      </c>
      <c r="H23" s="526"/>
      <c r="I23" s="526"/>
      <c r="J23" s="526"/>
      <c r="K23" s="530"/>
      <c r="L23" s="530"/>
      <c r="M23" s="9"/>
      <c r="N23" s="9"/>
      <c r="O23" s="9"/>
      <c r="P23" s="526"/>
      <c r="Q23" s="1025">
        <f t="shared" si="0"/>
        <v>0</v>
      </c>
      <c r="R23" s="1023"/>
      <c r="S23" s="1023"/>
      <c r="T23" s="1023"/>
      <c r="U23" s="1026">
        <f t="shared" si="1"/>
        <v>86867.066666666666</v>
      </c>
      <c r="V23" s="1027">
        <f t="shared" si="2"/>
        <v>86867.066666666666</v>
      </c>
      <c r="W23" s="530">
        <v>132000</v>
      </c>
      <c r="X23" s="530">
        <v>26400</v>
      </c>
      <c r="Y23" s="1027">
        <f t="shared" si="3"/>
        <v>158400</v>
      </c>
      <c r="Z23" s="1028">
        <f t="shared" si="4"/>
        <v>896770.06666666665</v>
      </c>
      <c r="AA23" s="1028">
        <f t="shared" si="5"/>
        <v>10761240.800000001</v>
      </c>
    </row>
    <row r="24" spans="1:27">
      <c r="A24" s="1023">
        <v>18</v>
      </c>
      <c r="B24" s="1029" t="s">
        <v>2584</v>
      </c>
      <c r="C24" s="1029" t="s">
        <v>2585</v>
      </c>
      <c r="D24" s="563" t="s">
        <v>1008</v>
      </c>
      <c r="E24" s="529" t="s">
        <v>1014</v>
      </c>
      <c r="F24" s="529" t="s">
        <v>1015</v>
      </c>
      <c r="G24" s="530">
        <v>530676</v>
      </c>
      <c r="H24" s="1030">
        <f>G24*20%</f>
        <v>106135.20000000001</v>
      </c>
      <c r="I24" s="530"/>
      <c r="J24" s="530">
        <f>+G24*0.4</f>
        <v>212270.40000000002</v>
      </c>
      <c r="K24" s="530"/>
      <c r="L24" s="530"/>
      <c r="M24" s="9"/>
      <c r="N24" s="9"/>
      <c r="O24" s="9"/>
      <c r="P24" s="530"/>
      <c r="Q24" s="1025">
        <f t="shared" si="0"/>
        <v>318405.60000000003</v>
      </c>
      <c r="R24" s="1023"/>
      <c r="S24" s="1023"/>
      <c r="T24" s="1023"/>
      <c r="U24" s="1026">
        <f t="shared" si="1"/>
        <v>70756.800000000003</v>
      </c>
      <c r="V24" s="1027">
        <f t="shared" si="2"/>
        <v>70756.800000000003</v>
      </c>
      <c r="W24" s="530">
        <v>132000</v>
      </c>
      <c r="X24" s="530">
        <v>26400</v>
      </c>
      <c r="Y24" s="1027">
        <f t="shared" si="3"/>
        <v>158400</v>
      </c>
      <c r="Z24" s="1028">
        <f t="shared" si="4"/>
        <v>1078238.3999999999</v>
      </c>
      <c r="AA24" s="1028">
        <f t="shared" si="5"/>
        <v>12938860.799999999</v>
      </c>
    </row>
    <row r="25" spans="1:27">
      <c r="A25" s="1023">
        <v>19</v>
      </c>
      <c r="B25" s="1029" t="s">
        <v>2586</v>
      </c>
      <c r="C25" s="1029" t="s">
        <v>2587</v>
      </c>
      <c r="D25" s="563" t="s">
        <v>1008</v>
      </c>
      <c r="E25" s="529" t="s">
        <v>1014</v>
      </c>
      <c r="F25" s="529" t="s">
        <v>1015</v>
      </c>
      <c r="G25" s="530">
        <v>530676</v>
      </c>
      <c r="H25" s="1030">
        <f>G25*25%</f>
        <v>132669</v>
      </c>
      <c r="I25" s="530"/>
      <c r="J25" s="530">
        <f>+G25*0.2</f>
        <v>106135.20000000001</v>
      </c>
      <c r="K25" s="530"/>
      <c r="L25" s="530"/>
      <c r="M25" s="9"/>
      <c r="N25" s="9"/>
      <c r="O25" s="9"/>
      <c r="P25" s="530"/>
      <c r="Q25" s="1025">
        <f t="shared" si="0"/>
        <v>238804.2</v>
      </c>
      <c r="R25" s="1023"/>
      <c r="S25" s="1023"/>
      <c r="T25" s="1023"/>
      <c r="U25" s="1026">
        <f t="shared" si="1"/>
        <v>70756.800000000003</v>
      </c>
      <c r="V25" s="1027">
        <f t="shared" si="2"/>
        <v>70756.800000000003</v>
      </c>
      <c r="W25" s="530">
        <v>132000</v>
      </c>
      <c r="X25" s="530">
        <v>26400</v>
      </c>
      <c r="Y25" s="1027">
        <f t="shared" si="3"/>
        <v>158400</v>
      </c>
      <c r="Z25" s="1028">
        <f t="shared" si="4"/>
        <v>998637</v>
      </c>
      <c r="AA25" s="1028">
        <f t="shared" si="5"/>
        <v>11983644</v>
      </c>
    </row>
    <row r="26" spans="1:27">
      <c r="A26" s="1023">
        <v>20</v>
      </c>
      <c r="B26" s="1029" t="s">
        <v>2588</v>
      </c>
      <c r="C26" s="1029" t="s">
        <v>2589</v>
      </c>
      <c r="D26" s="563" t="s">
        <v>1008</v>
      </c>
      <c r="E26" s="1031" t="s">
        <v>1005</v>
      </c>
      <c r="F26" s="529" t="s">
        <v>1006</v>
      </c>
      <c r="G26" s="530">
        <v>770701</v>
      </c>
      <c r="H26" s="1030">
        <f>G26*10%</f>
        <v>77070.100000000006</v>
      </c>
      <c r="I26" s="530"/>
      <c r="J26" s="530">
        <f>+G26*0.3</f>
        <v>231210.3</v>
      </c>
      <c r="K26" s="530"/>
      <c r="L26" s="530"/>
      <c r="M26" s="9"/>
      <c r="N26" s="9"/>
      <c r="O26" s="9"/>
      <c r="P26" s="530"/>
      <c r="Q26" s="1025">
        <f t="shared" si="0"/>
        <v>308280.40000000002</v>
      </c>
      <c r="R26" s="1023"/>
      <c r="S26" s="1023"/>
      <c r="T26" s="1023"/>
      <c r="U26" s="1026">
        <f t="shared" si="1"/>
        <v>102760.13333333335</v>
      </c>
      <c r="V26" s="1027">
        <f t="shared" si="2"/>
        <v>102760.13333333335</v>
      </c>
      <c r="W26" s="530">
        <v>132000</v>
      </c>
      <c r="X26" s="530">
        <v>26400</v>
      </c>
      <c r="Y26" s="1027">
        <f t="shared" si="3"/>
        <v>158400</v>
      </c>
      <c r="Z26" s="1028">
        <f t="shared" si="4"/>
        <v>1340141.5333333332</v>
      </c>
      <c r="AA26" s="1028">
        <f t="shared" si="5"/>
        <v>16081698.399999999</v>
      </c>
    </row>
    <row r="27" spans="1:27">
      <c r="A27" s="1023">
        <v>21</v>
      </c>
      <c r="B27" s="1029" t="s">
        <v>2590</v>
      </c>
      <c r="C27" s="1029" t="s">
        <v>2591</v>
      </c>
      <c r="D27" s="563" t="s">
        <v>1008</v>
      </c>
      <c r="E27" s="529" t="s">
        <v>253</v>
      </c>
      <c r="F27" s="529" t="s">
        <v>244</v>
      </c>
      <c r="G27" s="530">
        <v>740561</v>
      </c>
      <c r="H27" s="1030">
        <f>G27*5%</f>
        <v>37028.050000000003</v>
      </c>
      <c r="I27" s="530"/>
      <c r="J27" s="530"/>
      <c r="K27" s="530"/>
      <c r="L27" s="530"/>
      <c r="M27" s="9"/>
      <c r="N27" s="9"/>
      <c r="O27" s="9"/>
      <c r="P27" s="530"/>
      <c r="Q27" s="1025">
        <f t="shared" si="0"/>
        <v>37028.050000000003</v>
      </c>
      <c r="R27" s="1023"/>
      <c r="S27" s="1023"/>
      <c r="T27" s="1023"/>
      <c r="U27" s="1026">
        <f t="shared" si="1"/>
        <v>98741.466666666674</v>
      </c>
      <c r="V27" s="1027">
        <f t="shared" si="2"/>
        <v>98741.466666666674</v>
      </c>
      <c r="W27" s="530">
        <v>132000</v>
      </c>
      <c r="X27" s="530">
        <v>26400</v>
      </c>
      <c r="Y27" s="1027">
        <f t="shared" si="3"/>
        <v>158400</v>
      </c>
      <c r="Z27" s="1028">
        <f t="shared" si="4"/>
        <v>1034730.5166666666</v>
      </c>
      <c r="AA27" s="1028">
        <f t="shared" si="5"/>
        <v>12416766.199999999</v>
      </c>
    </row>
    <row r="28" spans="1:27">
      <c r="A28" s="1023">
        <v>22</v>
      </c>
      <c r="B28" s="1029" t="s">
        <v>2592</v>
      </c>
      <c r="C28" s="1029" t="s">
        <v>2593</v>
      </c>
      <c r="D28" s="563" t="s">
        <v>1008</v>
      </c>
      <c r="E28" s="529" t="s">
        <v>163</v>
      </c>
      <c r="F28" s="529" t="s">
        <v>244</v>
      </c>
      <c r="G28" s="530">
        <v>740561</v>
      </c>
      <c r="H28" s="1030">
        <f>G28*10%</f>
        <v>74056.100000000006</v>
      </c>
      <c r="I28" s="530"/>
      <c r="J28" s="530"/>
      <c r="K28" s="530"/>
      <c r="L28" s="530"/>
      <c r="M28" s="9"/>
      <c r="N28" s="9"/>
      <c r="O28" s="9"/>
      <c r="P28" s="530"/>
      <c r="Q28" s="1025">
        <f t="shared" si="0"/>
        <v>74056.100000000006</v>
      </c>
      <c r="R28" s="1023"/>
      <c r="S28" s="1023"/>
      <c r="T28" s="1023"/>
      <c r="U28" s="1026">
        <f t="shared" si="1"/>
        <v>98741.466666666674</v>
      </c>
      <c r="V28" s="1027">
        <f t="shared" si="2"/>
        <v>98741.466666666674</v>
      </c>
      <c r="W28" s="530">
        <v>132000</v>
      </c>
      <c r="X28" s="530">
        <v>26400</v>
      </c>
      <c r="Y28" s="1027">
        <f t="shared" si="3"/>
        <v>158400</v>
      </c>
      <c r="Z28" s="1028">
        <f t="shared" si="4"/>
        <v>1071758.5666666667</v>
      </c>
      <c r="AA28" s="1028">
        <f t="shared" si="5"/>
        <v>12861102.800000001</v>
      </c>
    </row>
    <row r="29" spans="1:27">
      <c r="A29" s="1023">
        <v>23</v>
      </c>
      <c r="B29" s="1032" t="s">
        <v>2594</v>
      </c>
      <c r="C29" s="1032" t="s">
        <v>2595</v>
      </c>
      <c r="D29" s="563" t="s">
        <v>1008</v>
      </c>
      <c r="E29" s="529" t="s">
        <v>253</v>
      </c>
      <c r="F29" s="529" t="s">
        <v>264</v>
      </c>
      <c r="G29" s="530">
        <v>651503</v>
      </c>
      <c r="H29" s="526"/>
      <c r="I29" s="526"/>
      <c r="J29" s="526"/>
      <c r="K29" s="530"/>
      <c r="L29" s="530"/>
      <c r="M29" s="9"/>
      <c r="N29" s="9"/>
      <c r="O29" s="9"/>
      <c r="P29" s="526"/>
      <c r="Q29" s="1025">
        <f t="shared" si="0"/>
        <v>0</v>
      </c>
      <c r="R29" s="1023"/>
      <c r="S29" s="1023"/>
      <c r="T29" s="1023"/>
      <c r="U29" s="1026">
        <f t="shared" si="1"/>
        <v>86867.066666666666</v>
      </c>
      <c r="V29" s="1027">
        <f t="shared" si="2"/>
        <v>86867.066666666666</v>
      </c>
      <c r="W29" s="530">
        <v>132000</v>
      </c>
      <c r="X29" s="530">
        <v>26400</v>
      </c>
      <c r="Y29" s="1027">
        <f t="shared" si="3"/>
        <v>158400</v>
      </c>
      <c r="Z29" s="1028">
        <f t="shared" si="4"/>
        <v>896770.06666666665</v>
      </c>
      <c r="AA29" s="1028">
        <f t="shared" si="5"/>
        <v>10761240.800000001</v>
      </c>
    </row>
    <row r="30" spans="1:27">
      <c r="A30" s="1023">
        <v>24</v>
      </c>
      <c r="B30" s="1029" t="s">
        <v>2596</v>
      </c>
      <c r="C30" s="1029" t="s">
        <v>2597</v>
      </c>
      <c r="D30" s="563" t="s">
        <v>2598</v>
      </c>
      <c r="E30" s="529" t="s">
        <v>240</v>
      </c>
      <c r="F30" s="521" t="s">
        <v>241</v>
      </c>
      <c r="G30" s="530">
        <v>901079</v>
      </c>
      <c r="H30" s="1030">
        <f>G30*25%</f>
        <v>225269.75</v>
      </c>
      <c r="I30" s="530">
        <f>+G30*0.15</f>
        <v>135161.85</v>
      </c>
      <c r="J30" s="530">
        <f>+G30*0.25</f>
        <v>225269.75</v>
      </c>
      <c r="K30" s="530"/>
      <c r="L30" s="530"/>
      <c r="M30" s="9"/>
      <c r="N30" s="9"/>
      <c r="O30" s="9"/>
      <c r="P30" s="530"/>
      <c r="Q30" s="1025">
        <f t="shared" si="0"/>
        <v>585701.35</v>
      </c>
      <c r="R30" s="1023"/>
      <c r="S30" s="1023"/>
      <c r="T30" s="1023"/>
      <c r="U30" s="1026">
        <f t="shared" si="1"/>
        <v>120143.86666666668</v>
      </c>
      <c r="V30" s="1027">
        <f t="shared" si="2"/>
        <v>120143.86666666668</v>
      </c>
      <c r="W30" s="530">
        <v>132000</v>
      </c>
      <c r="X30" s="530">
        <v>26400</v>
      </c>
      <c r="Y30" s="1027">
        <f t="shared" si="3"/>
        <v>158400</v>
      </c>
      <c r="Z30" s="1028">
        <f t="shared" si="4"/>
        <v>1765324.2166666668</v>
      </c>
      <c r="AA30" s="1028">
        <f t="shared" si="5"/>
        <v>21183890.600000001</v>
      </c>
    </row>
    <row r="31" spans="1:27">
      <c r="A31" s="1023">
        <v>25</v>
      </c>
      <c r="B31" s="1029" t="s">
        <v>2599</v>
      </c>
      <c r="C31" s="1029" t="s">
        <v>2600</v>
      </c>
      <c r="D31" s="563" t="s">
        <v>2598</v>
      </c>
      <c r="E31" s="529" t="s">
        <v>1021</v>
      </c>
      <c r="F31" s="529" t="s">
        <v>2601</v>
      </c>
      <c r="G31" s="530">
        <v>770701</v>
      </c>
      <c r="H31" s="1030">
        <f>G31*5%</f>
        <v>38535.050000000003</v>
      </c>
      <c r="I31" s="530"/>
      <c r="J31" s="530">
        <f>+G31*0.1</f>
        <v>77070.100000000006</v>
      </c>
      <c r="K31" s="530">
        <f>+G31*0.1</f>
        <v>77070.100000000006</v>
      </c>
      <c r="L31" s="530"/>
      <c r="M31" s="9"/>
      <c r="N31" s="9"/>
      <c r="O31" s="9"/>
      <c r="P31" s="530"/>
      <c r="Q31" s="1025">
        <f t="shared" si="0"/>
        <v>192675.25</v>
      </c>
      <c r="R31" s="1023"/>
      <c r="S31" s="1023"/>
      <c r="T31" s="1023"/>
      <c r="U31" s="1026">
        <f t="shared" si="1"/>
        <v>102760.13333333335</v>
      </c>
      <c r="V31" s="1027">
        <f t="shared" si="2"/>
        <v>102760.13333333335</v>
      </c>
      <c r="W31" s="530">
        <v>132000</v>
      </c>
      <c r="X31" s="530">
        <v>26400</v>
      </c>
      <c r="Y31" s="1027">
        <f t="shared" si="3"/>
        <v>158400</v>
      </c>
      <c r="Z31" s="1028">
        <f t="shared" si="4"/>
        <v>1224536.3833333333</v>
      </c>
      <c r="AA31" s="1028">
        <f t="shared" si="5"/>
        <v>14694436.6</v>
      </c>
    </row>
    <row r="32" spans="1:27">
      <c r="A32" s="1023">
        <v>26</v>
      </c>
      <c r="B32" s="1029" t="s">
        <v>2602</v>
      </c>
      <c r="C32" s="1029" t="s">
        <v>2603</v>
      </c>
      <c r="D32" s="563" t="s">
        <v>2598</v>
      </c>
      <c r="E32" s="529" t="s">
        <v>163</v>
      </c>
      <c r="F32" s="529" t="s">
        <v>254</v>
      </c>
      <c r="G32" s="530">
        <v>740561</v>
      </c>
      <c r="H32" s="1030">
        <f>G32*5%</f>
        <v>37028.050000000003</v>
      </c>
      <c r="I32" s="530"/>
      <c r="J32" s="530">
        <f>+G32*0.2</f>
        <v>148112.20000000001</v>
      </c>
      <c r="K32" s="530"/>
      <c r="L32" s="530"/>
      <c r="M32" s="9"/>
      <c r="N32" s="9"/>
      <c r="O32" s="9"/>
      <c r="P32" s="530"/>
      <c r="Q32" s="1025">
        <f t="shared" si="0"/>
        <v>185140.25</v>
      </c>
      <c r="R32" s="1023"/>
      <c r="S32" s="1023"/>
      <c r="T32" s="1023"/>
      <c r="U32" s="1026">
        <f t="shared" si="1"/>
        <v>98741.466666666674</v>
      </c>
      <c r="V32" s="1027">
        <f t="shared" si="2"/>
        <v>98741.466666666674</v>
      </c>
      <c r="W32" s="530">
        <v>132000</v>
      </c>
      <c r="X32" s="530">
        <v>26400</v>
      </c>
      <c r="Y32" s="1027">
        <f t="shared" si="3"/>
        <v>158400</v>
      </c>
      <c r="Z32" s="1028">
        <f t="shared" si="4"/>
        <v>1182842.7166666668</v>
      </c>
      <c r="AA32" s="1028">
        <f t="shared" si="5"/>
        <v>14194112.600000001</v>
      </c>
    </row>
    <row r="33" spans="1:27">
      <c r="A33" s="1023">
        <v>27</v>
      </c>
      <c r="B33" s="1033" t="s">
        <v>2604</v>
      </c>
      <c r="C33" s="1033" t="s">
        <v>2605</v>
      </c>
      <c r="D33" s="563" t="s">
        <v>2598</v>
      </c>
      <c r="E33" s="529" t="s">
        <v>163</v>
      </c>
      <c r="F33" s="529" t="s">
        <v>262</v>
      </c>
      <c r="G33" s="530">
        <v>669861</v>
      </c>
      <c r="H33" s="1030"/>
      <c r="I33" s="530"/>
      <c r="J33" s="530"/>
      <c r="K33" s="530"/>
      <c r="L33" s="530"/>
      <c r="M33" s="9"/>
      <c r="N33" s="9"/>
      <c r="O33" s="9"/>
      <c r="P33" s="530"/>
      <c r="Q33" s="1025">
        <f t="shared" si="0"/>
        <v>0</v>
      </c>
      <c r="R33" s="1023"/>
      <c r="S33" s="1023"/>
      <c r="T33" s="1023"/>
      <c r="U33" s="1026">
        <f t="shared" si="1"/>
        <v>89314.8</v>
      </c>
      <c r="V33" s="1027">
        <f t="shared" si="2"/>
        <v>89314.8</v>
      </c>
      <c r="W33" s="530">
        <v>132000</v>
      </c>
      <c r="X33" s="530">
        <v>26400</v>
      </c>
      <c r="Y33" s="1027">
        <f t="shared" si="3"/>
        <v>158400</v>
      </c>
      <c r="Z33" s="1028">
        <f t="shared" si="4"/>
        <v>917575.8</v>
      </c>
      <c r="AA33" s="1028">
        <f t="shared" si="5"/>
        <v>11010909.600000001</v>
      </c>
    </row>
    <row r="34" spans="1:27">
      <c r="A34" s="1023">
        <v>28</v>
      </c>
      <c r="B34" s="1033" t="s">
        <v>2606</v>
      </c>
      <c r="C34" s="1033" t="s">
        <v>2607</v>
      </c>
      <c r="D34" s="563" t="s">
        <v>2598</v>
      </c>
      <c r="E34" s="529" t="s">
        <v>163</v>
      </c>
      <c r="F34" s="1031" t="s">
        <v>262</v>
      </c>
      <c r="G34" s="530">
        <v>669862</v>
      </c>
      <c r="H34" s="1030"/>
      <c r="I34" s="530"/>
      <c r="J34" s="530"/>
      <c r="K34" s="530"/>
      <c r="L34" s="530"/>
      <c r="M34" s="9"/>
      <c r="N34" s="9"/>
      <c r="O34" s="9"/>
      <c r="P34" s="530"/>
      <c r="Q34" s="1025"/>
      <c r="R34" s="1023"/>
      <c r="S34" s="1023"/>
      <c r="T34" s="1023"/>
      <c r="U34" s="1026">
        <f t="shared" si="1"/>
        <v>89314.933333333334</v>
      </c>
      <c r="V34" s="1027">
        <f t="shared" si="2"/>
        <v>89314.933333333334</v>
      </c>
      <c r="W34" s="530"/>
      <c r="X34" s="530"/>
      <c r="Y34" s="1027"/>
      <c r="Z34" s="1028">
        <f t="shared" si="4"/>
        <v>759176.93333333335</v>
      </c>
      <c r="AA34" s="1028">
        <f t="shared" si="5"/>
        <v>9110123.1999999993</v>
      </c>
    </row>
    <row r="35" spans="1:27">
      <c r="A35" s="1023">
        <v>29</v>
      </c>
      <c r="B35" s="1029" t="s">
        <v>2608</v>
      </c>
      <c r="C35" s="1029" t="s">
        <v>2609</v>
      </c>
      <c r="D35" s="563" t="s">
        <v>2598</v>
      </c>
      <c r="E35" s="529" t="s">
        <v>163</v>
      </c>
      <c r="F35" s="529" t="s">
        <v>254</v>
      </c>
      <c r="G35" s="530">
        <v>740561</v>
      </c>
      <c r="H35" s="1030">
        <f>G35*5%</f>
        <v>37028.050000000003</v>
      </c>
      <c r="I35" s="530"/>
      <c r="J35" s="530"/>
      <c r="K35" s="530"/>
      <c r="L35" s="530"/>
      <c r="M35" s="9"/>
      <c r="N35" s="9"/>
      <c r="O35" s="9"/>
      <c r="P35" s="530"/>
      <c r="Q35" s="1025">
        <f t="shared" si="0"/>
        <v>37028.050000000003</v>
      </c>
      <c r="R35" s="1023"/>
      <c r="S35" s="1023"/>
      <c r="T35" s="1023"/>
      <c r="U35" s="1026">
        <f t="shared" si="1"/>
        <v>98741.466666666674</v>
      </c>
      <c r="V35" s="1027">
        <f t="shared" si="2"/>
        <v>98741.466666666674</v>
      </c>
      <c r="W35" s="530">
        <v>132000</v>
      </c>
      <c r="X35" s="530">
        <v>26400</v>
      </c>
      <c r="Y35" s="1027">
        <f t="shared" si="3"/>
        <v>158400</v>
      </c>
      <c r="Z35" s="1028">
        <f t="shared" si="4"/>
        <v>1034730.5166666666</v>
      </c>
      <c r="AA35" s="1028">
        <f t="shared" si="5"/>
        <v>12416766.199999999</v>
      </c>
    </row>
    <row r="36" spans="1:27">
      <c r="A36" s="1023">
        <v>30</v>
      </c>
      <c r="B36" s="1029" t="s">
        <v>2610</v>
      </c>
      <c r="C36" s="1029" t="s">
        <v>2611</v>
      </c>
      <c r="D36" s="563" t="s">
        <v>2598</v>
      </c>
      <c r="E36" s="529" t="s">
        <v>163</v>
      </c>
      <c r="F36" s="529" t="s">
        <v>251</v>
      </c>
      <c r="G36" s="530">
        <v>651503</v>
      </c>
      <c r="H36" s="1030">
        <f>G36*10%</f>
        <v>65150.3</v>
      </c>
      <c r="I36" s="530"/>
      <c r="J36" s="530"/>
      <c r="K36" s="530"/>
      <c r="L36" s="530"/>
      <c r="M36" s="9"/>
      <c r="N36" s="9"/>
      <c r="O36" s="9"/>
      <c r="P36" s="530"/>
      <c r="Q36" s="1025">
        <f>SUM(H36:P36)</f>
        <v>65150.3</v>
      </c>
      <c r="R36" s="1023"/>
      <c r="S36" s="1023"/>
      <c r="T36" s="1023"/>
      <c r="U36" s="1026">
        <f t="shared" si="1"/>
        <v>86867.066666666666</v>
      </c>
      <c r="V36" s="1027">
        <f t="shared" si="2"/>
        <v>86867.066666666666</v>
      </c>
      <c r="W36" s="530">
        <v>132000</v>
      </c>
      <c r="X36" s="530">
        <v>26400</v>
      </c>
      <c r="Y36" s="1027">
        <f t="shared" si="3"/>
        <v>158400</v>
      </c>
      <c r="Z36" s="1028">
        <f t="shared" si="4"/>
        <v>961920.3666666667</v>
      </c>
      <c r="AA36" s="1028">
        <f t="shared" si="5"/>
        <v>11543044.4</v>
      </c>
    </row>
    <row r="37" spans="1:27">
      <c r="A37" s="1023">
        <v>31</v>
      </c>
      <c r="B37" s="1029" t="s">
        <v>2612</v>
      </c>
      <c r="C37" s="1029" t="s">
        <v>2613</v>
      </c>
      <c r="D37" s="563" t="s">
        <v>2598</v>
      </c>
      <c r="E37" s="529" t="s">
        <v>163</v>
      </c>
      <c r="F37" s="1031" t="s">
        <v>251</v>
      </c>
      <c r="G37" s="530">
        <v>651503</v>
      </c>
      <c r="H37" s="1030">
        <f t="shared" ref="H37:H43" si="6">G37*5%</f>
        <v>32575.15</v>
      </c>
      <c r="I37" s="530"/>
      <c r="J37" s="530"/>
      <c r="K37" s="530"/>
      <c r="L37" s="530"/>
      <c r="M37" s="9"/>
      <c r="N37" s="9"/>
      <c r="O37" s="9"/>
      <c r="P37" s="530"/>
      <c r="Q37" s="1025"/>
      <c r="R37" s="1023"/>
      <c r="S37" s="1023"/>
      <c r="T37" s="1023"/>
      <c r="U37" s="1026">
        <f>(G37*40%)/3</f>
        <v>86867.066666666666</v>
      </c>
      <c r="V37" s="1027">
        <f t="shared" si="2"/>
        <v>86867.066666666666</v>
      </c>
      <c r="W37" s="530">
        <v>132000</v>
      </c>
      <c r="X37" s="530">
        <v>26400</v>
      </c>
      <c r="Y37" s="1027">
        <f t="shared" si="3"/>
        <v>158400</v>
      </c>
      <c r="Z37" s="1028">
        <f t="shared" si="4"/>
        <v>896770.06666666665</v>
      </c>
      <c r="AA37" s="1028">
        <f>+Z37*12</f>
        <v>10761240.800000001</v>
      </c>
    </row>
    <row r="38" spans="1:27" ht="28.5">
      <c r="A38" s="1023">
        <v>32</v>
      </c>
      <c r="B38" s="1033" t="s">
        <v>2614</v>
      </c>
      <c r="C38" s="1033" t="s">
        <v>2615</v>
      </c>
      <c r="D38" s="563" t="s">
        <v>2598</v>
      </c>
      <c r="E38" s="529" t="s">
        <v>163</v>
      </c>
      <c r="F38" s="529" t="s">
        <v>254</v>
      </c>
      <c r="G38" s="530">
        <v>740561</v>
      </c>
      <c r="H38" s="1030">
        <f t="shared" si="6"/>
        <v>37028.050000000003</v>
      </c>
      <c r="I38" s="530"/>
      <c r="J38" s="530">
        <f>G38*0.2</f>
        <v>148112.20000000001</v>
      </c>
      <c r="K38" s="530">
        <f>+G38*0.1</f>
        <v>74056.100000000006</v>
      </c>
      <c r="L38" s="530"/>
      <c r="M38" s="9"/>
      <c r="N38" s="9"/>
      <c r="O38" s="9"/>
      <c r="P38" s="530"/>
      <c r="Q38" s="1025">
        <f t="shared" si="0"/>
        <v>259196.35</v>
      </c>
      <c r="R38" s="1023"/>
      <c r="S38" s="1023"/>
      <c r="T38" s="1023"/>
      <c r="U38" s="1026">
        <f t="shared" si="1"/>
        <v>98741.466666666674</v>
      </c>
      <c r="V38" s="1027">
        <f t="shared" si="2"/>
        <v>98741.466666666674</v>
      </c>
      <c r="W38" s="530">
        <v>132000</v>
      </c>
      <c r="X38" s="530">
        <v>26400</v>
      </c>
      <c r="Y38" s="1027">
        <f t="shared" si="3"/>
        <v>158400</v>
      </c>
      <c r="Z38" s="1028">
        <f t="shared" si="4"/>
        <v>1256898.8166666667</v>
      </c>
      <c r="AA38" s="1028">
        <f t="shared" si="5"/>
        <v>15082785.800000001</v>
      </c>
    </row>
    <row r="39" spans="1:27">
      <c r="A39" s="1023">
        <v>33</v>
      </c>
      <c r="B39" s="1033" t="s">
        <v>2616</v>
      </c>
      <c r="C39" s="1033" t="s">
        <v>2617</v>
      </c>
      <c r="D39" s="563" t="s">
        <v>2598</v>
      </c>
      <c r="E39" s="529" t="s">
        <v>163</v>
      </c>
      <c r="F39" s="529" t="s">
        <v>262</v>
      </c>
      <c r="G39" s="530">
        <v>669861</v>
      </c>
      <c r="H39" s="1030">
        <f t="shared" si="6"/>
        <v>33493.050000000003</v>
      </c>
      <c r="I39" s="530"/>
      <c r="J39" s="530"/>
      <c r="K39" s="530"/>
      <c r="L39" s="530"/>
      <c r="M39" s="9"/>
      <c r="N39" s="9"/>
      <c r="O39" s="9"/>
      <c r="P39" s="530"/>
      <c r="Q39" s="1025">
        <f t="shared" si="0"/>
        <v>33493.050000000003</v>
      </c>
      <c r="R39" s="1023"/>
      <c r="S39" s="1023"/>
      <c r="T39" s="1023"/>
      <c r="U39" s="1026">
        <f t="shared" si="1"/>
        <v>89314.8</v>
      </c>
      <c r="V39" s="1027">
        <f t="shared" si="2"/>
        <v>89314.8</v>
      </c>
      <c r="W39" s="530">
        <v>132000</v>
      </c>
      <c r="X39" s="530">
        <v>26400</v>
      </c>
      <c r="Y39" s="1027">
        <f t="shared" si="3"/>
        <v>158400</v>
      </c>
      <c r="Z39" s="1028">
        <f t="shared" si="4"/>
        <v>951068.85</v>
      </c>
      <c r="AA39" s="1028">
        <f t="shared" si="5"/>
        <v>11412826.199999999</v>
      </c>
    </row>
    <row r="40" spans="1:27">
      <c r="A40" s="1023">
        <v>34</v>
      </c>
      <c r="B40" s="1029" t="s">
        <v>2618</v>
      </c>
      <c r="C40" s="1029" t="s">
        <v>2619</v>
      </c>
      <c r="D40" s="563" t="s">
        <v>2598</v>
      </c>
      <c r="E40" s="529" t="s">
        <v>245</v>
      </c>
      <c r="F40" s="529" t="s">
        <v>1001</v>
      </c>
      <c r="G40" s="530">
        <v>669861</v>
      </c>
      <c r="H40" s="1030">
        <f t="shared" si="6"/>
        <v>33493.050000000003</v>
      </c>
      <c r="I40" s="530"/>
      <c r="J40" s="530"/>
      <c r="K40" s="530"/>
      <c r="L40" s="530"/>
      <c r="M40" s="9"/>
      <c r="N40" s="9"/>
      <c r="O40" s="9"/>
      <c r="P40" s="530"/>
      <c r="Q40" s="1025">
        <f t="shared" si="0"/>
        <v>33493.050000000003</v>
      </c>
      <c r="R40" s="1023"/>
      <c r="S40" s="1023"/>
      <c r="T40" s="1023"/>
      <c r="U40" s="1026">
        <f t="shared" si="1"/>
        <v>89314.8</v>
      </c>
      <c r="V40" s="1027">
        <f t="shared" si="2"/>
        <v>89314.8</v>
      </c>
      <c r="W40" s="530">
        <v>132000</v>
      </c>
      <c r="X40" s="530">
        <v>26400</v>
      </c>
      <c r="Y40" s="1027">
        <f t="shared" si="3"/>
        <v>158400</v>
      </c>
      <c r="Z40" s="1028">
        <f t="shared" si="4"/>
        <v>951068.85</v>
      </c>
      <c r="AA40" s="1028">
        <f t="shared" si="5"/>
        <v>11412826.199999999</v>
      </c>
    </row>
    <row r="41" spans="1:27">
      <c r="A41" s="1023">
        <v>35</v>
      </c>
      <c r="B41" s="1033" t="s">
        <v>2620</v>
      </c>
      <c r="C41" s="1033" t="s">
        <v>2621</v>
      </c>
      <c r="D41" s="563" t="s">
        <v>2598</v>
      </c>
      <c r="E41" s="529" t="s">
        <v>163</v>
      </c>
      <c r="F41" s="529" t="s">
        <v>1001</v>
      </c>
      <c r="G41" s="530">
        <v>669861</v>
      </c>
      <c r="H41" s="1030">
        <f t="shared" si="6"/>
        <v>33493.050000000003</v>
      </c>
      <c r="I41" s="530"/>
      <c r="J41" s="530"/>
      <c r="K41" s="530"/>
      <c r="L41" s="530"/>
      <c r="M41" s="9"/>
      <c r="N41" s="9"/>
      <c r="O41" s="9"/>
      <c r="P41" s="530"/>
      <c r="Q41" s="1025">
        <f t="shared" si="0"/>
        <v>33493.050000000003</v>
      </c>
      <c r="R41" s="1023"/>
      <c r="S41" s="1023"/>
      <c r="T41" s="1023"/>
      <c r="U41" s="1026">
        <f t="shared" si="1"/>
        <v>89314.8</v>
      </c>
      <c r="V41" s="1027">
        <f t="shared" si="2"/>
        <v>89314.8</v>
      </c>
      <c r="W41" s="530">
        <v>132000</v>
      </c>
      <c r="X41" s="530">
        <v>26400</v>
      </c>
      <c r="Y41" s="1027">
        <f t="shared" si="3"/>
        <v>158400</v>
      </c>
      <c r="Z41" s="1028">
        <f t="shared" si="4"/>
        <v>951068.85</v>
      </c>
      <c r="AA41" s="1028">
        <f t="shared" si="5"/>
        <v>11412826.199999999</v>
      </c>
    </row>
    <row r="42" spans="1:27">
      <c r="A42" s="1023">
        <v>36</v>
      </c>
      <c r="B42" s="1029" t="s">
        <v>2622</v>
      </c>
      <c r="C42" s="1029" t="s">
        <v>2623</v>
      </c>
      <c r="D42" s="563" t="s">
        <v>2598</v>
      </c>
      <c r="E42" s="529" t="s">
        <v>245</v>
      </c>
      <c r="F42" s="529" t="s">
        <v>1001</v>
      </c>
      <c r="G42" s="530">
        <v>669861</v>
      </c>
      <c r="H42" s="1030">
        <f t="shared" si="6"/>
        <v>33493.050000000003</v>
      </c>
      <c r="I42" s="530"/>
      <c r="J42" s="530"/>
      <c r="K42" s="530"/>
      <c r="L42" s="530"/>
      <c r="M42" s="9"/>
      <c r="N42" s="9"/>
      <c r="O42" s="9"/>
      <c r="P42" s="530"/>
      <c r="Q42" s="1025">
        <f t="shared" si="0"/>
        <v>33493.050000000003</v>
      </c>
      <c r="R42" s="1023"/>
      <c r="S42" s="1023"/>
      <c r="T42" s="1023"/>
      <c r="U42" s="1026">
        <f t="shared" si="1"/>
        <v>89314.8</v>
      </c>
      <c r="V42" s="1027">
        <f t="shared" si="2"/>
        <v>89314.8</v>
      </c>
      <c r="W42" s="530">
        <v>132000</v>
      </c>
      <c r="X42" s="530">
        <v>26400</v>
      </c>
      <c r="Y42" s="1027">
        <f t="shared" si="3"/>
        <v>158400</v>
      </c>
      <c r="Z42" s="1028">
        <f t="shared" si="4"/>
        <v>951068.85</v>
      </c>
      <c r="AA42" s="1028">
        <f t="shared" si="5"/>
        <v>11412826.199999999</v>
      </c>
    </row>
    <row r="43" spans="1:27">
      <c r="A43" s="1023">
        <v>37</v>
      </c>
      <c r="B43" s="1029" t="s">
        <v>2624</v>
      </c>
      <c r="C43" s="1029" t="s">
        <v>2625</v>
      </c>
      <c r="D43" s="563" t="s">
        <v>2598</v>
      </c>
      <c r="E43" s="529" t="s">
        <v>245</v>
      </c>
      <c r="F43" s="529" t="s">
        <v>1001</v>
      </c>
      <c r="G43" s="530">
        <v>669861</v>
      </c>
      <c r="H43" s="1030">
        <f t="shared" si="6"/>
        <v>33493.050000000003</v>
      </c>
      <c r="I43" s="530"/>
      <c r="J43" s="530">
        <f>+G43*0.2</f>
        <v>133972.20000000001</v>
      </c>
      <c r="K43" s="530"/>
      <c r="L43" s="530"/>
      <c r="M43" s="9"/>
      <c r="N43" s="9"/>
      <c r="O43" s="9"/>
      <c r="P43" s="530"/>
      <c r="Q43" s="1025">
        <f t="shared" si="0"/>
        <v>167465.25</v>
      </c>
      <c r="R43" s="1023"/>
      <c r="S43" s="1023"/>
      <c r="T43" s="1023"/>
      <c r="U43" s="1026">
        <f t="shared" si="1"/>
        <v>89314.8</v>
      </c>
      <c r="V43" s="1027">
        <f t="shared" si="2"/>
        <v>89314.8</v>
      </c>
      <c r="W43" s="530">
        <v>132000</v>
      </c>
      <c r="X43" s="530">
        <v>26400</v>
      </c>
      <c r="Y43" s="1027">
        <f t="shared" si="3"/>
        <v>158400</v>
      </c>
      <c r="Z43" s="1028">
        <f t="shared" si="4"/>
        <v>1085041.05</v>
      </c>
      <c r="AA43" s="1028">
        <f t="shared" si="5"/>
        <v>13020492.600000001</v>
      </c>
    </row>
    <row r="44" spans="1:27">
      <c r="A44" s="1023">
        <v>38</v>
      </c>
      <c r="B44" s="1029" t="s">
        <v>2626</v>
      </c>
      <c r="C44" s="1029" t="s">
        <v>2627</v>
      </c>
      <c r="D44" s="563" t="s">
        <v>2598</v>
      </c>
      <c r="E44" s="529" t="s">
        <v>245</v>
      </c>
      <c r="F44" s="529" t="s">
        <v>264</v>
      </c>
      <c r="G44" s="530">
        <v>651503</v>
      </c>
      <c r="H44" s="530"/>
      <c r="I44" s="530"/>
      <c r="J44" s="530"/>
      <c r="K44" s="530"/>
      <c r="L44" s="530"/>
      <c r="M44" s="9"/>
      <c r="N44" s="9"/>
      <c r="O44" s="9"/>
      <c r="P44" s="530"/>
      <c r="Q44" s="1025">
        <f t="shared" si="0"/>
        <v>0</v>
      </c>
      <c r="R44" s="1023"/>
      <c r="S44" s="1023"/>
      <c r="T44" s="1023"/>
      <c r="U44" s="1026">
        <f t="shared" si="1"/>
        <v>86867.066666666666</v>
      </c>
      <c r="V44" s="1027">
        <f t="shared" si="2"/>
        <v>86867.066666666666</v>
      </c>
      <c r="W44" s="530">
        <v>132000</v>
      </c>
      <c r="X44" s="530">
        <v>26400</v>
      </c>
      <c r="Y44" s="1027">
        <f t="shared" si="3"/>
        <v>158400</v>
      </c>
      <c r="Z44" s="1028">
        <f t="shared" si="4"/>
        <v>896770.06666666665</v>
      </c>
      <c r="AA44" s="1028">
        <f t="shared" si="5"/>
        <v>10761240.800000001</v>
      </c>
    </row>
    <row r="45" spans="1:27">
      <c r="A45" s="1023">
        <v>39</v>
      </c>
      <c r="B45" s="1029" t="s">
        <v>2628</v>
      </c>
      <c r="C45" s="1029" t="s">
        <v>2629</v>
      </c>
      <c r="D45" s="563" t="s">
        <v>2598</v>
      </c>
      <c r="E45" s="529" t="s">
        <v>245</v>
      </c>
      <c r="F45" s="529" t="s">
        <v>264</v>
      </c>
      <c r="G45" s="530">
        <v>651503</v>
      </c>
      <c r="H45" s="530"/>
      <c r="I45" s="530"/>
      <c r="J45" s="530"/>
      <c r="K45" s="530"/>
      <c r="L45" s="530"/>
      <c r="M45" s="9"/>
      <c r="N45" s="9"/>
      <c r="O45" s="9"/>
      <c r="P45" s="530"/>
      <c r="Q45" s="1025">
        <f t="shared" si="0"/>
        <v>0</v>
      </c>
      <c r="R45" s="1023"/>
      <c r="S45" s="1023"/>
      <c r="T45" s="1023"/>
      <c r="U45" s="1026">
        <f t="shared" si="1"/>
        <v>86867.066666666666</v>
      </c>
      <c r="V45" s="1027">
        <f t="shared" si="2"/>
        <v>86867.066666666666</v>
      </c>
      <c r="W45" s="530">
        <v>132000</v>
      </c>
      <c r="X45" s="530">
        <v>26400</v>
      </c>
      <c r="Y45" s="1027">
        <f t="shared" si="3"/>
        <v>158400</v>
      </c>
      <c r="Z45" s="1028">
        <f t="shared" si="4"/>
        <v>896770.06666666665</v>
      </c>
      <c r="AA45" s="1028">
        <f t="shared" si="5"/>
        <v>10761240.800000001</v>
      </c>
    </row>
    <row r="46" spans="1:27" ht="28.5">
      <c r="A46" s="1023">
        <v>40</v>
      </c>
      <c r="B46" s="1033" t="s">
        <v>2630</v>
      </c>
      <c r="C46" s="1033" t="s">
        <v>2631</v>
      </c>
      <c r="D46" s="563" t="s">
        <v>1023</v>
      </c>
      <c r="E46" s="529" t="s">
        <v>240</v>
      </c>
      <c r="F46" s="529" t="s">
        <v>241</v>
      </c>
      <c r="G46" s="530">
        <v>901079</v>
      </c>
      <c r="H46" s="530"/>
      <c r="I46" s="530"/>
      <c r="J46" s="530">
        <f>+G46*20/100</f>
        <v>180215.8</v>
      </c>
      <c r="K46" s="530"/>
      <c r="L46" s="530"/>
      <c r="M46" s="9"/>
      <c r="N46" s="9"/>
      <c r="O46" s="9"/>
      <c r="P46" s="530"/>
      <c r="Q46" s="1025">
        <f t="shared" si="0"/>
        <v>180215.8</v>
      </c>
      <c r="R46" s="1023"/>
      <c r="S46" s="1023"/>
      <c r="T46" s="1023"/>
      <c r="U46" s="1026">
        <f t="shared" si="1"/>
        <v>120143.86666666668</v>
      </c>
      <c r="V46" s="1027">
        <f t="shared" si="2"/>
        <v>120143.86666666668</v>
      </c>
      <c r="W46" s="530">
        <v>132000</v>
      </c>
      <c r="X46" s="530">
        <v>26400</v>
      </c>
      <c r="Y46" s="1027">
        <f t="shared" si="3"/>
        <v>158400</v>
      </c>
      <c r="Z46" s="1028">
        <f t="shared" si="4"/>
        <v>1359838.6666666667</v>
      </c>
      <c r="AA46" s="1028">
        <f t="shared" si="5"/>
        <v>16318064</v>
      </c>
    </row>
    <row r="47" spans="1:27" ht="28.5">
      <c r="A47" s="1023">
        <v>41</v>
      </c>
      <c r="B47" s="1029" t="s">
        <v>2632</v>
      </c>
      <c r="C47" s="1029" t="s">
        <v>2633</v>
      </c>
      <c r="D47" s="563" t="s">
        <v>1023</v>
      </c>
      <c r="E47" s="529" t="s">
        <v>1005</v>
      </c>
      <c r="F47" s="529" t="s">
        <v>1006</v>
      </c>
      <c r="G47" s="530">
        <v>770701</v>
      </c>
      <c r="H47" s="1030">
        <f>G47*15%</f>
        <v>115605.15</v>
      </c>
      <c r="I47" s="535"/>
      <c r="J47" s="530">
        <f>+G47*20/100</f>
        <v>154140.20000000001</v>
      </c>
      <c r="K47" s="530">
        <f>G47*0.1</f>
        <v>77070.100000000006</v>
      </c>
      <c r="L47" s="530"/>
      <c r="M47" s="9"/>
      <c r="N47" s="9"/>
      <c r="O47" s="9"/>
      <c r="P47" s="535"/>
      <c r="Q47" s="1025">
        <f t="shared" si="0"/>
        <v>346815.44999999995</v>
      </c>
      <c r="R47" s="1023"/>
      <c r="S47" s="1023"/>
      <c r="T47" s="1023"/>
      <c r="U47" s="1026">
        <f t="shared" si="1"/>
        <v>102760.13333333335</v>
      </c>
      <c r="V47" s="1027">
        <f t="shared" si="2"/>
        <v>102760.13333333335</v>
      </c>
      <c r="W47" s="530">
        <v>132000</v>
      </c>
      <c r="X47" s="530">
        <v>26400</v>
      </c>
      <c r="Y47" s="1027">
        <f t="shared" si="3"/>
        <v>158400</v>
      </c>
      <c r="Z47" s="1028">
        <f t="shared" si="4"/>
        <v>1378676.5833333333</v>
      </c>
      <c r="AA47" s="1028">
        <f t="shared" si="5"/>
        <v>16544119</v>
      </c>
    </row>
    <row r="48" spans="1:27" ht="28.5">
      <c r="A48" s="1023">
        <v>42</v>
      </c>
      <c r="B48" s="1029" t="s">
        <v>2551</v>
      </c>
      <c r="C48" s="1029" t="s">
        <v>2634</v>
      </c>
      <c r="D48" s="563" t="s">
        <v>1023</v>
      </c>
      <c r="E48" s="529" t="s">
        <v>245</v>
      </c>
      <c r="F48" s="529" t="s">
        <v>262</v>
      </c>
      <c r="G48" s="530">
        <v>669861</v>
      </c>
      <c r="H48" s="1030"/>
      <c r="I48" s="530"/>
      <c r="J48" s="530"/>
      <c r="K48" s="530"/>
      <c r="L48" s="530"/>
      <c r="M48" s="9"/>
      <c r="N48" s="9"/>
      <c r="O48" s="9"/>
      <c r="P48" s="530"/>
      <c r="Q48" s="1025">
        <f t="shared" si="0"/>
        <v>0</v>
      </c>
      <c r="R48" s="1023"/>
      <c r="S48" s="1023"/>
      <c r="T48" s="1023"/>
      <c r="U48" s="1026">
        <f t="shared" si="1"/>
        <v>89314.8</v>
      </c>
      <c r="V48" s="1027">
        <f t="shared" si="2"/>
        <v>89314.8</v>
      </c>
      <c r="W48" s="530">
        <v>132000</v>
      </c>
      <c r="X48" s="530">
        <v>26400</v>
      </c>
      <c r="Y48" s="1027">
        <f t="shared" si="3"/>
        <v>158400</v>
      </c>
      <c r="Z48" s="1028">
        <f t="shared" si="4"/>
        <v>917575.8</v>
      </c>
      <c r="AA48" s="1028">
        <f t="shared" si="5"/>
        <v>11010909.600000001</v>
      </c>
    </row>
    <row r="49" spans="1:27" ht="28.5">
      <c r="A49" s="1023">
        <v>43</v>
      </c>
      <c r="B49" s="1033" t="s">
        <v>2635</v>
      </c>
      <c r="C49" s="1033" t="s">
        <v>2636</v>
      </c>
      <c r="D49" s="563" t="s">
        <v>1023</v>
      </c>
      <c r="E49" s="529" t="s">
        <v>253</v>
      </c>
      <c r="F49" s="529" t="s">
        <v>244</v>
      </c>
      <c r="G49" s="530">
        <v>740561</v>
      </c>
      <c r="H49" s="1030">
        <f>G49*10%</f>
        <v>74056.100000000006</v>
      </c>
      <c r="I49" s="530"/>
      <c r="J49" s="530">
        <f>+G49*25/100</f>
        <v>185140.25</v>
      </c>
      <c r="K49" s="530">
        <f>+G49*0.15</f>
        <v>111084.15</v>
      </c>
      <c r="L49" s="530"/>
      <c r="M49" s="9"/>
      <c r="N49" s="9"/>
      <c r="O49" s="9"/>
      <c r="P49" s="530"/>
      <c r="Q49" s="1025">
        <f t="shared" si="0"/>
        <v>370280.5</v>
      </c>
      <c r="R49" s="1023"/>
      <c r="S49" s="1023"/>
      <c r="T49" s="1023"/>
      <c r="U49" s="1026">
        <f t="shared" si="1"/>
        <v>98741.466666666674</v>
      </c>
      <c r="V49" s="1027">
        <f t="shared" si="2"/>
        <v>98741.466666666674</v>
      </c>
      <c r="W49" s="530">
        <v>132000</v>
      </c>
      <c r="X49" s="530">
        <v>26400</v>
      </c>
      <c r="Y49" s="1027">
        <f t="shared" si="3"/>
        <v>158400</v>
      </c>
      <c r="Z49" s="1028">
        <f t="shared" si="4"/>
        <v>1367982.9666666668</v>
      </c>
      <c r="AA49" s="1028">
        <f t="shared" si="5"/>
        <v>16415795.600000001</v>
      </c>
    </row>
    <row r="50" spans="1:27" ht="28.5">
      <c r="A50" s="1023">
        <v>44</v>
      </c>
      <c r="B50" s="1029" t="s">
        <v>2637</v>
      </c>
      <c r="C50" s="1029" t="s">
        <v>2638</v>
      </c>
      <c r="D50" s="563" t="s">
        <v>1023</v>
      </c>
      <c r="E50" s="529" t="s">
        <v>253</v>
      </c>
      <c r="F50" s="529" t="s">
        <v>2639</v>
      </c>
      <c r="G50" s="530">
        <v>656689</v>
      </c>
      <c r="H50" s="1034"/>
      <c r="I50" s="535"/>
      <c r="J50" s="535"/>
      <c r="K50" s="530"/>
      <c r="L50" s="530"/>
      <c r="M50" s="9"/>
      <c r="N50" s="9"/>
      <c r="O50" s="9"/>
      <c r="P50" s="535"/>
      <c r="Q50" s="1025">
        <f t="shared" si="0"/>
        <v>0</v>
      </c>
      <c r="R50" s="1023"/>
      <c r="S50" s="1023"/>
      <c r="T50" s="1023"/>
      <c r="U50" s="1026">
        <f t="shared" si="1"/>
        <v>87558.53333333334</v>
      </c>
      <c r="V50" s="1027">
        <f t="shared" si="2"/>
        <v>87558.53333333334</v>
      </c>
      <c r="W50" s="530">
        <v>132000</v>
      </c>
      <c r="X50" s="530">
        <v>26400</v>
      </c>
      <c r="Y50" s="1027">
        <f t="shared" si="3"/>
        <v>158400</v>
      </c>
      <c r="Z50" s="1028">
        <f t="shared" si="4"/>
        <v>902647.53333333333</v>
      </c>
      <c r="AA50" s="1028">
        <f t="shared" si="5"/>
        <v>10831770.4</v>
      </c>
    </row>
    <row r="51" spans="1:27" ht="28.5">
      <c r="A51" s="1023">
        <v>45</v>
      </c>
      <c r="B51" s="1033" t="s">
        <v>2640</v>
      </c>
      <c r="C51" s="1033" t="s">
        <v>2641</v>
      </c>
      <c r="D51" s="563" t="s">
        <v>1023</v>
      </c>
      <c r="E51" s="529" t="s">
        <v>253</v>
      </c>
      <c r="F51" s="529" t="s">
        <v>244</v>
      </c>
      <c r="G51" s="530">
        <v>740561</v>
      </c>
      <c r="H51" s="1030">
        <f>G51*15%</f>
        <v>111084.15</v>
      </c>
      <c r="I51" s="530"/>
      <c r="J51" s="530">
        <f>+G51*0.3</f>
        <v>222168.3</v>
      </c>
      <c r="K51" s="530">
        <f>+G51*0.15</f>
        <v>111084.15</v>
      </c>
      <c r="L51" s="530"/>
      <c r="M51" s="9"/>
      <c r="N51" s="9"/>
      <c r="O51" s="9"/>
      <c r="P51" s="530"/>
      <c r="Q51" s="1025">
        <f t="shared" si="0"/>
        <v>444336.6</v>
      </c>
      <c r="R51" s="1023"/>
      <c r="S51" s="1023"/>
      <c r="T51" s="1023"/>
      <c r="U51" s="1026">
        <f t="shared" si="1"/>
        <v>98741.466666666674</v>
      </c>
      <c r="V51" s="1027">
        <f t="shared" si="2"/>
        <v>98741.466666666674</v>
      </c>
      <c r="W51" s="530">
        <v>132000</v>
      </c>
      <c r="X51" s="530">
        <v>26400</v>
      </c>
      <c r="Y51" s="1027">
        <f t="shared" si="3"/>
        <v>158400</v>
      </c>
      <c r="Z51" s="1028">
        <f t="shared" si="4"/>
        <v>1442039.0666666667</v>
      </c>
      <c r="AA51" s="1028">
        <f t="shared" si="5"/>
        <v>17304468.800000001</v>
      </c>
    </row>
    <row r="52" spans="1:27" ht="28.5">
      <c r="A52" s="1023">
        <v>46</v>
      </c>
      <c r="B52" s="1029" t="s">
        <v>2642</v>
      </c>
      <c r="C52" s="1029" t="s">
        <v>2643</v>
      </c>
      <c r="D52" s="563" t="s">
        <v>1023</v>
      </c>
      <c r="E52" s="529" t="s">
        <v>1005</v>
      </c>
      <c r="F52" s="529" t="s">
        <v>1006</v>
      </c>
      <c r="G52" s="530">
        <v>770701</v>
      </c>
      <c r="H52" s="1030">
        <f>G52*15%</f>
        <v>115605.15</v>
      </c>
      <c r="I52" s="530"/>
      <c r="J52" s="530">
        <f>+G52*0.2</f>
        <v>154140.20000000001</v>
      </c>
      <c r="K52" s="530">
        <f>+G52*0.1</f>
        <v>77070.100000000006</v>
      </c>
      <c r="L52" s="530"/>
      <c r="M52" s="9"/>
      <c r="N52" s="9"/>
      <c r="O52" s="9"/>
      <c r="P52" s="530"/>
      <c r="Q52" s="1025">
        <f t="shared" si="0"/>
        <v>346815.44999999995</v>
      </c>
      <c r="R52" s="1023"/>
      <c r="S52" s="1023"/>
      <c r="T52" s="1023"/>
      <c r="U52" s="1026">
        <f t="shared" si="1"/>
        <v>102760.13333333335</v>
      </c>
      <c r="V52" s="1027">
        <f t="shared" si="2"/>
        <v>102760.13333333335</v>
      </c>
      <c r="W52" s="530">
        <v>132000</v>
      </c>
      <c r="X52" s="530">
        <v>26400</v>
      </c>
      <c r="Y52" s="1027">
        <f t="shared" si="3"/>
        <v>158400</v>
      </c>
      <c r="Z52" s="1028">
        <f t="shared" si="4"/>
        <v>1378676.5833333333</v>
      </c>
      <c r="AA52" s="1028">
        <f t="shared" si="5"/>
        <v>16544119</v>
      </c>
    </row>
    <row r="53" spans="1:27" ht="28.5">
      <c r="A53" s="1023">
        <v>47</v>
      </c>
      <c r="B53" s="1032" t="s">
        <v>2644</v>
      </c>
      <c r="C53" s="1032" t="s">
        <v>2645</v>
      </c>
      <c r="D53" s="563" t="s">
        <v>1023</v>
      </c>
      <c r="E53" s="529" t="s">
        <v>253</v>
      </c>
      <c r="F53" s="529" t="s">
        <v>1001</v>
      </c>
      <c r="G53" s="530">
        <v>669861</v>
      </c>
      <c r="H53" s="1034"/>
      <c r="I53" s="535"/>
      <c r="J53" s="1035">
        <f>+G53*0.25</f>
        <v>167465.25</v>
      </c>
      <c r="K53" s="530"/>
      <c r="L53" s="530"/>
      <c r="M53" s="9"/>
      <c r="N53" s="9"/>
      <c r="O53" s="9"/>
      <c r="P53" s="535"/>
      <c r="Q53" s="1025">
        <f t="shared" si="0"/>
        <v>167465.25</v>
      </c>
      <c r="R53" s="1023"/>
      <c r="S53" s="1023"/>
      <c r="T53" s="1023"/>
      <c r="U53" s="1026">
        <f t="shared" si="1"/>
        <v>89314.8</v>
      </c>
      <c r="V53" s="1027">
        <f t="shared" si="2"/>
        <v>89314.8</v>
      </c>
      <c r="W53" s="530">
        <v>132000</v>
      </c>
      <c r="X53" s="530">
        <v>26400</v>
      </c>
      <c r="Y53" s="1027">
        <f t="shared" si="3"/>
        <v>158400</v>
      </c>
      <c r="Z53" s="1028">
        <f t="shared" si="4"/>
        <v>1085041.05</v>
      </c>
      <c r="AA53" s="1028">
        <f t="shared" si="5"/>
        <v>13020492.600000001</v>
      </c>
    </row>
    <row r="54" spans="1:27" ht="28.5">
      <c r="A54" s="1023">
        <v>48</v>
      </c>
      <c r="B54" s="1032" t="s">
        <v>2646</v>
      </c>
      <c r="C54" s="1032" t="s">
        <v>2647</v>
      </c>
      <c r="D54" s="563" t="s">
        <v>1023</v>
      </c>
      <c r="E54" s="529" t="s">
        <v>253</v>
      </c>
      <c r="F54" s="529" t="s">
        <v>1001</v>
      </c>
      <c r="G54" s="530">
        <v>669861</v>
      </c>
      <c r="H54" s="1030">
        <f>G54*5%</f>
        <v>33493.050000000003</v>
      </c>
      <c r="I54" s="526"/>
      <c r="J54" s="1035">
        <f>+G54*0.25</f>
        <v>167465.25</v>
      </c>
      <c r="K54" s="530"/>
      <c r="L54" s="530"/>
      <c r="M54" s="9"/>
      <c r="N54" s="9"/>
      <c r="O54" s="9"/>
      <c r="P54" s="526"/>
      <c r="Q54" s="1025">
        <f t="shared" si="0"/>
        <v>200958.3</v>
      </c>
      <c r="R54" s="1023"/>
      <c r="S54" s="1023"/>
      <c r="T54" s="1023"/>
      <c r="U54" s="1026">
        <f t="shared" si="1"/>
        <v>89314.8</v>
      </c>
      <c r="V54" s="1027">
        <f t="shared" si="2"/>
        <v>89314.8</v>
      </c>
      <c r="W54" s="530">
        <v>132000</v>
      </c>
      <c r="X54" s="530">
        <v>26400</v>
      </c>
      <c r="Y54" s="1027">
        <f t="shared" si="3"/>
        <v>158400</v>
      </c>
      <c r="Z54" s="1028">
        <f t="shared" si="4"/>
        <v>1118534.1000000001</v>
      </c>
      <c r="AA54" s="1028">
        <f t="shared" si="5"/>
        <v>13422409.200000001</v>
      </c>
    </row>
    <row r="55" spans="1:27" ht="28.5">
      <c r="A55" s="1023">
        <v>49</v>
      </c>
      <c r="B55" s="1029" t="s">
        <v>2648</v>
      </c>
      <c r="C55" s="1029" t="s">
        <v>2587</v>
      </c>
      <c r="D55" s="563" t="s">
        <v>1023</v>
      </c>
      <c r="E55" s="529" t="s">
        <v>253</v>
      </c>
      <c r="F55" s="529" t="s">
        <v>244</v>
      </c>
      <c r="G55" s="530">
        <v>740561</v>
      </c>
      <c r="H55" s="1030">
        <f>G55*5%</f>
        <v>37028.050000000003</v>
      </c>
      <c r="I55" s="535"/>
      <c r="J55" s="530">
        <f>+G55*0.2</f>
        <v>148112.20000000001</v>
      </c>
      <c r="K55" s="530"/>
      <c r="L55" s="530"/>
      <c r="M55" s="9"/>
      <c r="N55" s="9"/>
      <c r="O55" s="9"/>
      <c r="P55" s="535"/>
      <c r="Q55" s="1025">
        <f t="shared" si="0"/>
        <v>185140.25</v>
      </c>
      <c r="R55" s="1023"/>
      <c r="S55" s="1023"/>
      <c r="T55" s="1023"/>
      <c r="U55" s="1026">
        <f t="shared" si="1"/>
        <v>98741.466666666674</v>
      </c>
      <c r="V55" s="1027">
        <f t="shared" si="2"/>
        <v>98741.466666666674</v>
      </c>
      <c r="W55" s="530">
        <v>132000</v>
      </c>
      <c r="X55" s="530">
        <v>26400</v>
      </c>
      <c r="Y55" s="1027">
        <f t="shared" si="3"/>
        <v>158400</v>
      </c>
      <c r="Z55" s="1028">
        <f t="shared" si="4"/>
        <v>1182842.7166666668</v>
      </c>
      <c r="AA55" s="1028">
        <f t="shared" si="5"/>
        <v>14194112.600000001</v>
      </c>
    </row>
    <row r="56" spans="1:27" ht="28.5">
      <c r="A56" s="1023">
        <v>50</v>
      </c>
      <c r="B56" s="1029" t="s">
        <v>2649</v>
      </c>
      <c r="C56" s="1029" t="s">
        <v>2613</v>
      </c>
      <c r="D56" s="563" t="s">
        <v>1023</v>
      </c>
      <c r="E56" s="529" t="s">
        <v>253</v>
      </c>
      <c r="F56" s="529" t="s">
        <v>2639</v>
      </c>
      <c r="G56" s="530">
        <v>656689</v>
      </c>
      <c r="H56" s="1034"/>
      <c r="I56" s="535"/>
      <c r="J56" s="530"/>
      <c r="K56" s="530"/>
      <c r="L56" s="530"/>
      <c r="M56" s="9"/>
      <c r="N56" s="9"/>
      <c r="O56" s="9"/>
      <c r="P56" s="535"/>
      <c r="Q56" s="1025">
        <f t="shared" si="0"/>
        <v>0</v>
      </c>
      <c r="R56" s="1023"/>
      <c r="S56" s="1023"/>
      <c r="T56" s="1023"/>
      <c r="U56" s="1026">
        <f t="shared" si="1"/>
        <v>87558.53333333334</v>
      </c>
      <c r="V56" s="1027">
        <f t="shared" si="2"/>
        <v>87558.53333333334</v>
      </c>
      <c r="W56" s="530">
        <v>132000</v>
      </c>
      <c r="X56" s="530">
        <v>26400</v>
      </c>
      <c r="Y56" s="1027">
        <f t="shared" si="3"/>
        <v>158400</v>
      </c>
      <c r="Z56" s="1028">
        <f t="shared" si="4"/>
        <v>902647.53333333333</v>
      </c>
      <c r="AA56" s="1028">
        <f t="shared" si="5"/>
        <v>10831770.4</v>
      </c>
    </row>
    <row r="57" spans="1:27" ht="28.5">
      <c r="A57" s="1023">
        <v>51</v>
      </c>
      <c r="B57" s="1029" t="s">
        <v>2650</v>
      </c>
      <c r="C57" s="1029" t="s">
        <v>2651</v>
      </c>
      <c r="D57" s="563" t="s">
        <v>1023</v>
      </c>
      <c r="E57" s="529" t="s">
        <v>253</v>
      </c>
      <c r="F57" s="529" t="s">
        <v>264</v>
      </c>
      <c r="G57" s="530">
        <v>651503</v>
      </c>
      <c r="H57" s="1034"/>
      <c r="I57" s="535"/>
      <c r="J57" s="530"/>
      <c r="K57" s="530"/>
      <c r="L57" s="530"/>
      <c r="M57" s="9"/>
      <c r="N57" s="9"/>
      <c r="O57" s="9"/>
      <c r="P57" s="535"/>
      <c r="Q57" s="1025">
        <f t="shared" si="0"/>
        <v>0</v>
      </c>
      <c r="R57" s="1023"/>
      <c r="S57" s="1023"/>
      <c r="T57" s="1023"/>
      <c r="U57" s="1026">
        <f t="shared" si="1"/>
        <v>86867.066666666666</v>
      </c>
      <c r="V57" s="1027">
        <f t="shared" si="2"/>
        <v>86867.066666666666</v>
      </c>
      <c r="W57" s="530">
        <v>132000</v>
      </c>
      <c r="X57" s="530">
        <v>26400</v>
      </c>
      <c r="Y57" s="1027">
        <f t="shared" si="3"/>
        <v>158400</v>
      </c>
      <c r="Z57" s="1028">
        <f t="shared" si="4"/>
        <v>896770.06666666665</v>
      </c>
      <c r="AA57" s="1028">
        <f t="shared" si="5"/>
        <v>10761240.800000001</v>
      </c>
    </row>
    <row r="58" spans="1:27" ht="28.5">
      <c r="A58" s="1023">
        <v>52</v>
      </c>
      <c r="B58" s="1029" t="s">
        <v>2652</v>
      </c>
      <c r="C58" s="1029" t="s">
        <v>2653</v>
      </c>
      <c r="D58" s="563" t="s">
        <v>1023</v>
      </c>
      <c r="E58" s="529" t="s">
        <v>253</v>
      </c>
      <c r="F58" s="529" t="s">
        <v>1001</v>
      </c>
      <c r="G58" s="530">
        <v>669861</v>
      </c>
      <c r="H58" s="1034"/>
      <c r="I58" s="535"/>
      <c r="J58" s="530">
        <f>+G58*0.2</f>
        <v>133972.20000000001</v>
      </c>
      <c r="K58" s="530"/>
      <c r="L58" s="530"/>
      <c r="M58" s="9"/>
      <c r="N58" s="9"/>
      <c r="O58" s="9"/>
      <c r="P58" s="535"/>
      <c r="Q58" s="1025">
        <f t="shared" si="0"/>
        <v>133972.20000000001</v>
      </c>
      <c r="R58" s="1023"/>
      <c r="S58" s="1023"/>
      <c r="T58" s="1023"/>
      <c r="U58" s="1026">
        <f t="shared" si="1"/>
        <v>89314.8</v>
      </c>
      <c r="V58" s="1027">
        <f t="shared" si="2"/>
        <v>89314.8</v>
      </c>
      <c r="W58" s="530">
        <v>132000</v>
      </c>
      <c r="X58" s="530">
        <v>26400</v>
      </c>
      <c r="Y58" s="1027">
        <f t="shared" si="3"/>
        <v>158400</v>
      </c>
      <c r="Z58" s="1028">
        <f t="shared" si="4"/>
        <v>1051548</v>
      </c>
      <c r="AA58" s="1028">
        <f t="shared" si="5"/>
        <v>12618576</v>
      </c>
    </row>
    <row r="59" spans="1:27" ht="28.5">
      <c r="A59" s="1023">
        <v>53</v>
      </c>
      <c r="B59" s="1029" t="s">
        <v>2654</v>
      </c>
      <c r="C59" s="1029" t="s">
        <v>2655</v>
      </c>
      <c r="D59" s="563" t="s">
        <v>1023</v>
      </c>
      <c r="E59" s="529" t="s">
        <v>253</v>
      </c>
      <c r="F59" s="529" t="s">
        <v>264</v>
      </c>
      <c r="G59" s="530">
        <v>651503</v>
      </c>
      <c r="H59" s="1034"/>
      <c r="I59" s="535"/>
      <c r="J59" s="530"/>
      <c r="K59" s="530"/>
      <c r="L59" s="530"/>
      <c r="M59" s="9"/>
      <c r="N59" s="9"/>
      <c r="O59" s="9"/>
      <c r="P59" s="535"/>
      <c r="Q59" s="1025">
        <f t="shared" si="0"/>
        <v>0</v>
      </c>
      <c r="R59" s="1023"/>
      <c r="S59" s="1023"/>
      <c r="T59" s="1023"/>
      <c r="U59" s="1026">
        <f t="shared" si="1"/>
        <v>86867.066666666666</v>
      </c>
      <c r="V59" s="1027">
        <f t="shared" si="2"/>
        <v>86867.066666666666</v>
      </c>
      <c r="W59" s="530">
        <v>132000</v>
      </c>
      <c r="X59" s="530">
        <v>26400</v>
      </c>
      <c r="Y59" s="1027">
        <f t="shared" si="3"/>
        <v>158400</v>
      </c>
      <c r="Z59" s="1028">
        <f t="shared" si="4"/>
        <v>896770.06666666665</v>
      </c>
      <c r="AA59" s="1028">
        <f t="shared" si="5"/>
        <v>10761240.800000001</v>
      </c>
    </row>
    <row r="60" spans="1:27">
      <c r="A60" s="1023">
        <v>54</v>
      </c>
      <c r="B60" s="1033" t="s">
        <v>2656</v>
      </c>
      <c r="C60" s="1033" t="s">
        <v>2657</v>
      </c>
      <c r="D60" s="563" t="s">
        <v>1032</v>
      </c>
      <c r="E60" s="529" t="s">
        <v>240</v>
      </c>
      <c r="F60" s="529" t="s">
        <v>241</v>
      </c>
      <c r="G60" s="530">
        <v>901079</v>
      </c>
      <c r="H60" s="1030">
        <f>G60*10%</f>
        <v>90107.900000000009</v>
      </c>
      <c r="I60" s="530"/>
      <c r="J60" s="530">
        <f t="shared" ref="J60" si="7">+G60*0.2</f>
        <v>180215.80000000002</v>
      </c>
      <c r="K60" s="530"/>
      <c r="L60" s="530"/>
      <c r="M60" s="9"/>
      <c r="N60" s="9"/>
      <c r="O60" s="9"/>
      <c r="P60" s="530"/>
      <c r="Q60" s="1025">
        <f t="shared" si="0"/>
        <v>270323.7</v>
      </c>
      <c r="R60" s="1023"/>
      <c r="S60" s="1023"/>
      <c r="T60" s="1023"/>
      <c r="U60" s="1026">
        <f t="shared" si="1"/>
        <v>120143.86666666668</v>
      </c>
      <c r="V60" s="1027">
        <f t="shared" si="2"/>
        <v>120143.86666666668</v>
      </c>
      <c r="W60" s="530">
        <v>132000</v>
      </c>
      <c r="X60" s="530">
        <v>26400</v>
      </c>
      <c r="Y60" s="1027">
        <f t="shared" si="3"/>
        <v>158400</v>
      </c>
      <c r="Z60" s="1028">
        <f t="shared" si="4"/>
        <v>1449946.5666666667</v>
      </c>
      <c r="AA60" s="1028">
        <f t="shared" si="5"/>
        <v>17399358.800000001</v>
      </c>
    </row>
    <row r="61" spans="1:27">
      <c r="A61" s="1023">
        <v>55</v>
      </c>
      <c r="B61" s="1033" t="s">
        <v>2658</v>
      </c>
      <c r="C61" s="1033" t="s">
        <v>2659</v>
      </c>
      <c r="D61" s="563" t="s">
        <v>1032</v>
      </c>
      <c r="E61" s="529" t="s">
        <v>163</v>
      </c>
      <c r="F61" s="529" t="s">
        <v>244</v>
      </c>
      <c r="G61" s="530">
        <v>740561</v>
      </c>
      <c r="H61" s="1030">
        <f>G61*5%</f>
        <v>37028.050000000003</v>
      </c>
      <c r="I61" s="530"/>
      <c r="J61" s="530">
        <f>+G61*0.1</f>
        <v>74056.100000000006</v>
      </c>
      <c r="K61" s="530"/>
      <c r="L61" s="530"/>
      <c r="M61" s="9"/>
      <c r="N61" s="9"/>
      <c r="O61" s="9"/>
      <c r="P61" s="530"/>
      <c r="Q61" s="1025">
        <f t="shared" si="0"/>
        <v>111084.15000000001</v>
      </c>
      <c r="R61" s="1023"/>
      <c r="S61" s="1023"/>
      <c r="T61" s="1023"/>
      <c r="U61" s="1026">
        <f t="shared" si="1"/>
        <v>98741.466666666674</v>
      </c>
      <c r="V61" s="1027">
        <f t="shared" si="2"/>
        <v>98741.466666666674</v>
      </c>
      <c r="W61" s="530">
        <v>132000</v>
      </c>
      <c r="X61" s="530">
        <v>26400</v>
      </c>
      <c r="Y61" s="1027">
        <f t="shared" si="3"/>
        <v>158400</v>
      </c>
      <c r="Z61" s="1028">
        <f t="shared" si="4"/>
        <v>1108786.6166666667</v>
      </c>
      <c r="AA61" s="1028">
        <f t="shared" si="5"/>
        <v>13305439.4</v>
      </c>
    </row>
    <row r="62" spans="1:27">
      <c r="A62" s="1023">
        <v>56</v>
      </c>
      <c r="B62" s="1032" t="s">
        <v>2660</v>
      </c>
      <c r="C62" s="1032" t="s">
        <v>2661</v>
      </c>
      <c r="D62" s="563" t="s">
        <v>1032</v>
      </c>
      <c r="E62" s="529" t="s">
        <v>253</v>
      </c>
      <c r="F62" s="529" t="s">
        <v>1001</v>
      </c>
      <c r="G62" s="530">
        <v>669861</v>
      </c>
      <c r="H62" s="1030">
        <f>G62*5%</f>
        <v>33493.050000000003</v>
      </c>
      <c r="I62" s="526"/>
      <c r="J62" s="526"/>
      <c r="K62" s="530"/>
      <c r="L62" s="530"/>
      <c r="M62" s="9"/>
      <c r="N62" s="9"/>
      <c r="O62" s="9"/>
      <c r="P62" s="526"/>
      <c r="Q62" s="1025">
        <f t="shared" si="0"/>
        <v>33493.050000000003</v>
      </c>
      <c r="R62" s="1023"/>
      <c r="S62" s="1023"/>
      <c r="T62" s="1023"/>
      <c r="U62" s="1026">
        <f t="shared" si="1"/>
        <v>89314.8</v>
      </c>
      <c r="V62" s="1027">
        <f t="shared" si="2"/>
        <v>89314.8</v>
      </c>
      <c r="W62" s="530">
        <v>132000</v>
      </c>
      <c r="X62" s="530">
        <v>26400</v>
      </c>
      <c r="Y62" s="1027">
        <f t="shared" si="3"/>
        <v>158400</v>
      </c>
      <c r="Z62" s="1028">
        <f t="shared" si="4"/>
        <v>951068.85</v>
      </c>
      <c r="AA62" s="1028">
        <f t="shared" si="5"/>
        <v>11412826.199999999</v>
      </c>
    </row>
    <row r="63" spans="1:27">
      <c r="A63" s="1023">
        <v>57</v>
      </c>
      <c r="B63" s="1033" t="s">
        <v>2662</v>
      </c>
      <c r="C63" s="1033" t="s">
        <v>2663</v>
      </c>
      <c r="D63" s="563" t="s">
        <v>1032</v>
      </c>
      <c r="E63" s="529" t="s">
        <v>253</v>
      </c>
      <c r="F63" s="529" t="s">
        <v>1001</v>
      </c>
      <c r="G63" s="530">
        <v>669861</v>
      </c>
      <c r="H63" s="1030">
        <f>G63*10%</f>
        <v>66986.100000000006</v>
      </c>
      <c r="I63" s="530"/>
      <c r="J63" s="530"/>
      <c r="K63" s="530"/>
      <c r="L63" s="530"/>
      <c r="M63" s="9"/>
      <c r="N63" s="9"/>
      <c r="O63" s="9"/>
      <c r="P63" s="530"/>
      <c r="Q63" s="1025">
        <f t="shared" si="0"/>
        <v>66986.100000000006</v>
      </c>
      <c r="R63" s="1023"/>
      <c r="S63" s="1023"/>
      <c r="T63" s="1023"/>
      <c r="U63" s="1026">
        <f t="shared" si="1"/>
        <v>89314.8</v>
      </c>
      <c r="V63" s="1027">
        <f t="shared" si="2"/>
        <v>89314.8</v>
      </c>
      <c r="W63" s="530">
        <v>132000</v>
      </c>
      <c r="X63" s="530">
        <v>26400</v>
      </c>
      <c r="Y63" s="1027">
        <f t="shared" si="3"/>
        <v>158400</v>
      </c>
      <c r="Z63" s="1028">
        <f t="shared" si="4"/>
        <v>984561.9</v>
      </c>
      <c r="AA63" s="1028">
        <f t="shared" si="5"/>
        <v>11814742.800000001</v>
      </c>
    </row>
    <row r="64" spans="1:27">
      <c r="A64" s="1023">
        <v>58</v>
      </c>
      <c r="B64" s="1029" t="s">
        <v>2664</v>
      </c>
      <c r="C64" s="1029" t="s">
        <v>2665</v>
      </c>
      <c r="D64" s="563" t="s">
        <v>1032</v>
      </c>
      <c r="E64" s="529" t="s">
        <v>163</v>
      </c>
      <c r="F64" s="521" t="s">
        <v>1006</v>
      </c>
      <c r="G64" s="530">
        <v>770701</v>
      </c>
      <c r="H64" s="1030">
        <f>G64*20%</f>
        <v>154140.20000000001</v>
      </c>
      <c r="I64" s="530"/>
      <c r="J64" s="530">
        <f>+G64*0.4</f>
        <v>308280.40000000002</v>
      </c>
      <c r="K64" s="530"/>
      <c r="L64" s="530"/>
      <c r="M64" s="9"/>
      <c r="N64" s="9"/>
      <c r="O64" s="9"/>
      <c r="P64" s="530"/>
      <c r="Q64" s="1025">
        <f t="shared" si="0"/>
        <v>462420.60000000003</v>
      </c>
      <c r="R64" s="1023"/>
      <c r="S64" s="1023"/>
      <c r="T64" s="1023"/>
      <c r="U64" s="1026">
        <f t="shared" si="1"/>
        <v>102760.13333333335</v>
      </c>
      <c r="V64" s="1027">
        <f t="shared" si="2"/>
        <v>102760.13333333335</v>
      </c>
      <c r="W64" s="530">
        <v>132000</v>
      </c>
      <c r="X64" s="530">
        <v>26400</v>
      </c>
      <c r="Y64" s="1027">
        <f t="shared" si="3"/>
        <v>158400</v>
      </c>
      <c r="Z64" s="1028">
        <f t="shared" si="4"/>
        <v>1494281.7333333334</v>
      </c>
      <c r="AA64" s="1028">
        <f t="shared" si="5"/>
        <v>17931380.800000001</v>
      </c>
    </row>
    <row r="65" spans="1:27">
      <c r="A65" s="1023">
        <v>59</v>
      </c>
      <c r="B65" s="1029" t="s">
        <v>2666</v>
      </c>
      <c r="C65" s="1029" t="s">
        <v>2667</v>
      </c>
      <c r="D65" s="563" t="s">
        <v>1032</v>
      </c>
      <c r="E65" s="1031" t="s">
        <v>1021</v>
      </c>
      <c r="F65" s="521" t="s">
        <v>1006</v>
      </c>
      <c r="G65" s="530">
        <v>770701</v>
      </c>
      <c r="H65" s="1030">
        <f>G65*20%</f>
        <v>154140.20000000001</v>
      </c>
      <c r="I65" s="1036"/>
      <c r="J65" s="1037">
        <f>+G65*0.2</f>
        <v>154140.20000000001</v>
      </c>
      <c r="K65" s="530">
        <f>+G65*0.15</f>
        <v>115605.15</v>
      </c>
      <c r="L65" s="530"/>
      <c r="M65" s="9"/>
      <c r="N65" s="9"/>
      <c r="O65" s="9"/>
      <c r="P65" s="1036"/>
      <c r="Q65" s="1025">
        <f t="shared" si="0"/>
        <v>423885.55000000005</v>
      </c>
      <c r="R65" s="1023"/>
      <c r="S65" s="1023"/>
      <c r="T65" s="1023"/>
      <c r="U65" s="1026">
        <f t="shared" si="1"/>
        <v>102760.13333333335</v>
      </c>
      <c r="V65" s="1027">
        <f t="shared" si="2"/>
        <v>102760.13333333335</v>
      </c>
      <c r="W65" s="530">
        <v>132000</v>
      </c>
      <c r="X65" s="530">
        <v>26400</v>
      </c>
      <c r="Y65" s="1027">
        <f t="shared" si="3"/>
        <v>158400</v>
      </c>
      <c r="Z65" s="1028">
        <f t="shared" si="4"/>
        <v>1455746.6833333333</v>
      </c>
      <c r="AA65" s="1028">
        <f t="shared" si="5"/>
        <v>17468960.199999999</v>
      </c>
    </row>
    <row r="66" spans="1:27">
      <c r="A66" s="1023">
        <v>60</v>
      </c>
      <c r="B66" s="1029" t="s">
        <v>2668</v>
      </c>
      <c r="C66" s="1029" t="s">
        <v>2669</v>
      </c>
      <c r="D66" s="563" t="s">
        <v>1032</v>
      </c>
      <c r="E66" s="529" t="s">
        <v>163</v>
      </c>
      <c r="F66" s="529" t="s">
        <v>244</v>
      </c>
      <c r="G66" s="530">
        <v>740561</v>
      </c>
      <c r="H66" s="1030">
        <f>G66*15%</f>
        <v>111084.15</v>
      </c>
      <c r="I66" s="1036"/>
      <c r="J66" s="1037">
        <f>+G66*0.2</f>
        <v>148112.20000000001</v>
      </c>
      <c r="K66" s="530"/>
      <c r="L66" s="530"/>
      <c r="M66" s="9"/>
      <c r="N66" s="9"/>
      <c r="O66" s="9"/>
      <c r="P66" s="1036"/>
      <c r="Q66" s="1025">
        <f t="shared" si="0"/>
        <v>259196.35</v>
      </c>
      <c r="R66" s="1023"/>
      <c r="S66" s="1023"/>
      <c r="T66" s="1023"/>
      <c r="U66" s="1026">
        <f t="shared" si="1"/>
        <v>98741.466666666674</v>
      </c>
      <c r="V66" s="1027">
        <f t="shared" si="2"/>
        <v>98741.466666666674</v>
      </c>
      <c r="W66" s="530">
        <v>132000</v>
      </c>
      <c r="X66" s="530">
        <v>26400</v>
      </c>
      <c r="Y66" s="1027">
        <f t="shared" si="3"/>
        <v>158400</v>
      </c>
      <c r="Z66" s="1028">
        <f t="shared" si="4"/>
        <v>1256898.8166666667</v>
      </c>
      <c r="AA66" s="1028">
        <f t="shared" si="5"/>
        <v>15082785.800000001</v>
      </c>
    </row>
    <row r="67" spans="1:27">
      <c r="A67" s="1023">
        <v>61</v>
      </c>
      <c r="B67" s="1029" t="s">
        <v>2670</v>
      </c>
      <c r="C67" s="1029" t="s">
        <v>2671</v>
      </c>
      <c r="D67" s="563" t="s">
        <v>1032</v>
      </c>
      <c r="E67" s="529" t="s">
        <v>163</v>
      </c>
      <c r="F67" s="521" t="s">
        <v>1001</v>
      </c>
      <c r="G67" s="530">
        <v>669861</v>
      </c>
      <c r="H67" s="1030"/>
      <c r="I67" s="535"/>
      <c r="J67" s="537"/>
      <c r="K67" s="530"/>
      <c r="L67" s="530"/>
      <c r="M67" s="9"/>
      <c r="N67" s="9"/>
      <c r="O67" s="9"/>
      <c r="P67" s="535"/>
      <c r="Q67" s="1025">
        <f t="shared" si="0"/>
        <v>0</v>
      </c>
      <c r="R67" s="1023"/>
      <c r="S67" s="1023"/>
      <c r="T67" s="1023"/>
      <c r="U67" s="1026">
        <f t="shared" si="1"/>
        <v>89314.8</v>
      </c>
      <c r="V67" s="1027">
        <f t="shared" si="2"/>
        <v>89314.8</v>
      </c>
      <c r="W67" s="530">
        <v>132000</v>
      </c>
      <c r="X67" s="530">
        <v>26400</v>
      </c>
      <c r="Y67" s="1027">
        <f t="shared" si="3"/>
        <v>158400</v>
      </c>
      <c r="Z67" s="1028">
        <f t="shared" si="4"/>
        <v>917575.8</v>
      </c>
      <c r="AA67" s="1028">
        <f t="shared" si="5"/>
        <v>11010909.600000001</v>
      </c>
    </row>
    <row r="68" spans="1:27" ht="28.5">
      <c r="A68" s="1023">
        <v>62</v>
      </c>
      <c r="B68" s="1033" t="s">
        <v>2672</v>
      </c>
      <c r="C68" s="1033" t="s">
        <v>2673</v>
      </c>
      <c r="D68" s="563" t="s">
        <v>2674</v>
      </c>
      <c r="E68" s="529" t="s">
        <v>240</v>
      </c>
      <c r="F68" s="529" t="s">
        <v>241</v>
      </c>
      <c r="G68" s="530">
        <v>901079</v>
      </c>
      <c r="H68" s="1030">
        <f>G68*20%</f>
        <v>180215.80000000002</v>
      </c>
      <c r="I68" s="530"/>
      <c r="J68" s="1037">
        <f>+G68*0.25</f>
        <v>225269.75</v>
      </c>
      <c r="K68" s="530"/>
      <c r="L68" s="530"/>
      <c r="M68" s="9"/>
      <c r="N68" s="9"/>
      <c r="O68" s="9"/>
      <c r="P68" s="530"/>
      <c r="Q68" s="1025">
        <f t="shared" si="0"/>
        <v>405485.55000000005</v>
      </c>
      <c r="R68" s="1023"/>
      <c r="S68" s="1023"/>
      <c r="T68" s="1023"/>
      <c r="U68" s="1026">
        <f t="shared" si="1"/>
        <v>120143.86666666668</v>
      </c>
      <c r="V68" s="1027">
        <f t="shared" si="2"/>
        <v>120143.86666666668</v>
      </c>
      <c r="W68" s="530">
        <v>132000</v>
      </c>
      <c r="X68" s="530">
        <v>26400</v>
      </c>
      <c r="Y68" s="1027">
        <f t="shared" si="3"/>
        <v>158400</v>
      </c>
      <c r="Z68" s="1028">
        <f t="shared" si="4"/>
        <v>1585108.4166666667</v>
      </c>
      <c r="AA68" s="1028">
        <f t="shared" si="5"/>
        <v>19021301</v>
      </c>
    </row>
    <row r="69" spans="1:27" ht="28.5">
      <c r="A69" s="1023">
        <v>63</v>
      </c>
      <c r="B69" s="1029" t="s">
        <v>2675</v>
      </c>
      <c r="C69" s="528" t="s">
        <v>258</v>
      </c>
      <c r="D69" s="563" t="s">
        <v>2674</v>
      </c>
      <c r="E69" s="529" t="s">
        <v>1021</v>
      </c>
      <c r="F69" s="529" t="s">
        <v>2601</v>
      </c>
      <c r="G69" s="530">
        <v>770701</v>
      </c>
      <c r="H69" s="1030">
        <f>G69*5%</f>
        <v>38535.050000000003</v>
      </c>
      <c r="I69" s="530"/>
      <c r="J69" s="530">
        <f>+G69*0.4</f>
        <v>308280.40000000002</v>
      </c>
      <c r="K69" s="530">
        <f>+G69*0.1</f>
        <v>77070.100000000006</v>
      </c>
      <c r="L69" s="530"/>
      <c r="M69" s="9"/>
      <c r="N69" s="9"/>
      <c r="O69" s="9"/>
      <c r="P69" s="530"/>
      <c r="Q69" s="1025">
        <f t="shared" si="0"/>
        <v>423885.55000000005</v>
      </c>
      <c r="R69" s="1023"/>
      <c r="S69" s="1023"/>
      <c r="T69" s="1023"/>
      <c r="U69" s="1026">
        <f t="shared" si="1"/>
        <v>102760.13333333335</v>
      </c>
      <c r="V69" s="1027">
        <f t="shared" si="2"/>
        <v>102760.13333333335</v>
      </c>
      <c r="W69" s="530">
        <v>132000</v>
      </c>
      <c r="X69" s="530">
        <v>26400</v>
      </c>
      <c r="Y69" s="1027">
        <f t="shared" si="3"/>
        <v>158400</v>
      </c>
      <c r="Z69" s="1028">
        <f t="shared" si="4"/>
        <v>1455746.6833333333</v>
      </c>
      <c r="AA69" s="1028">
        <f t="shared" si="5"/>
        <v>17468960.199999999</v>
      </c>
    </row>
    <row r="70" spans="1:27" ht="28.5">
      <c r="A70" s="1023">
        <v>64</v>
      </c>
      <c r="B70" s="1029" t="s">
        <v>2676</v>
      </c>
      <c r="C70" s="1029" t="s">
        <v>2677</v>
      </c>
      <c r="D70" s="563" t="s">
        <v>2674</v>
      </c>
      <c r="E70" s="529" t="s">
        <v>1039</v>
      </c>
      <c r="F70" s="529" t="s">
        <v>262</v>
      </c>
      <c r="G70" s="530">
        <v>651503</v>
      </c>
      <c r="H70" s="1030"/>
      <c r="I70" s="530"/>
      <c r="J70" s="530"/>
      <c r="K70" s="530"/>
      <c r="L70" s="530"/>
      <c r="M70" s="9"/>
      <c r="N70" s="9"/>
      <c r="O70" s="9"/>
      <c r="P70" s="530"/>
      <c r="Q70" s="1025">
        <f t="shared" si="0"/>
        <v>0</v>
      </c>
      <c r="R70" s="1023"/>
      <c r="S70" s="1023"/>
      <c r="T70" s="1023"/>
      <c r="U70" s="1026">
        <f t="shared" si="1"/>
        <v>86867.066666666666</v>
      </c>
      <c r="V70" s="1027">
        <f t="shared" si="2"/>
        <v>86867.066666666666</v>
      </c>
      <c r="W70" s="530">
        <v>132000</v>
      </c>
      <c r="X70" s="530">
        <v>26400</v>
      </c>
      <c r="Y70" s="1027">
        <f t="shared" si="3"/>
        <v>158400</v>
      </c>
      <c r="Z70" s="1028">
        <f t="shared" si="4"/>
        <v>896770.06666666665</v>
      </c>
      <c r="AA70" s="1028">
        <f t="shared" si="5"/>
        <v>10761240.800000001</v>
      </c>
    </row>
    <row r="71" spans="1:27" ht="28.5">
      <c r="A71" s="1023">
        <v>65</v>
      </c>
      <c r="B71" s="1029" t="s">
        <v>2678</v>
      </c>
      <c r="C71" s="1029" t="s">
        <v>2679</v>
      </c>
      <c r="D71" s="563" t="s">
        <v>2674</v>
      </c>
      <c r="E71" s="529" t="s">
        <v>245</v>
      </c>
      <c r="F71" s="529" t="s">
        <v>244</v>
      </c>
      <c r="G71" s="530">
        <v>740561</v>
      </c>
      <c r="H71" s="1030">
        <f>G71*10%</f>
        <v>74056.100000000006</v>
      </c>
      <c r="I71" s="530"/>
      <c r="J71" s="530"/>
      <c r="K71" s="530"/>
      <c r="L71" s="530"/>
      <c r="M71" s="9"/>
      <c r="N71" s="9"/>
      <c r="O71" s="9"/>
      <c r="P71" s="530"/>
      <c r="Q71" s="1025">
        <f t="shared" si="0"/>
        <v>74056.100000000006</v>
      </c>
      <c r="R71" s="1023"/>
      <c r="S71" s="1023"/>
      <c r="T71" s="1023"/>
      <c r="U71" s="1026">
        <f t="shared" si="1"/>
        <v>98741.466666666674</v>
      </c>
      <c r="V71" s="1027">
        <f t="shared" si="2"/>
        <v>98741.466666666674</v>
      </c>
      <c r="W71" s="530">
        <v>132000</v>
      </c>
      <c r="X71" s="530">
        <v>26400</v>
      </c>
      <c r="Y71" s="1027">
        <f t="shared" si="3"/>
        <v>158400</v>
      </c>
      <c r="Z71" s="1028">
        <f t="shared" si="4"/>
        <v>1071758.5666666667</v>
      </c>
      <c r="AA71" s="1028">
        <f t="shared" si="5"/>
        <v>12861102.800000001</v>
      </c>
    </row>
    <row r="72" spans="1:27" ht="28.5">
      <c r="A72" s="1023">
        <v>66</v>
      </c>
      <c r="B72" s="1029" t="s">
        <v>2680</v>
      </c>
      <c r="C72" s="1029" t="s">
        <v>2681</v>
      </c>
      <c r="D72" s="563" t="s">
        <v>2674</v>
      </c>
      <c r="E72" s="529" t="s">
        <v>245</v>
      </c>
      <c r="F72" s="1031" t="s">
        <v>244</v>
      </c>
      <c r="G72" s="530">
        <v>740561</v>
      </c>
      <c r="H72" s="1030">
        <f>G72*10%</f>
        <v>74056.100000000006</v>
      </c>
      <c r="I72" s="530"/>
      <c r="J72" s="530"/>
      <c r="K72" s="530"/>
      <c r="L72" s="530"/>
      <c r="M72" s="9"/>
      <c r="N72" s="9"/>
      <c r="O72" s="9"/>
      <c r="P72" s="530"/>
      <c r="Q72" s="1025">
        <f t="shared" si="0"/>
        <v>74056.100000000006</v>
      </c>
      <c r="R72" s="1023"/>
      <c r="S72" s="1023"/>
      <c r="T72" s="1023"/>
      <c r="U72" s="1026">
        <f t="shared" si="1"/>
        <v>98741.466666666674</v>
      </c>
      <c r="V72" s="1027">
        <f t="shared" si="2"/>
        <v>98741.466666666674</v>
      </c>
      <c r="W72" s="530">
        <v>132000</v>
      </c>
      <c r="X72" s="530">
        <v>26400</v>
      </c>
      <c r="Y72" s="1027">
        <f t="shared" si="3"/>
        <v>158400</v>
      </c>
      <c r="Z72" s="1028">
        <f t="shared" si="4"/>
        <v>1071758.5666666667</v>
      </c>
      <c r="AA72" s="1028">
        <f t="shared" si="5"/>
        <v>12861102.800000001</v>
      </c>
    </row>
    <row r="73" spans="1:27">
      <c r="A73" s="1023">
        <v>67</v>
      </c>
      <c r="B73" s="1033" t="s">
        <v>2682</v>
      </c>
      <c r="C73" s="1033" t="s">
        <v>2683</v>
      </c>
      <c r="D73" s="563" t="s">
        <v>1053</v>
      </c>
      <c r="E73" s="529" t="s">
        <v>240</v>
      </c>
      <c r="F73" s="529" t="s">
        <v>241</v>
      </c>
      <c r="G73" s="530">
        <v>901079</v>
      </c>
      <c r="H73" s="1030">
        <f>G73*5%</f>
        <v>45053.950000000004</v>
      </c>
      <c r="I73" s="530"/>
      <c r="J73" s="530">
        <f>+G73*0.4</f>
        <v>360431.60000000003</v>
      </c>
      <c r="K73" s="530">
        <f>G73*0.1</f>
        <v>90107.900000000009</v>
      </c>
      <c r="L73" s="530"/>
      <c r="M73" s="9"/>
      <c r="N73" s="9"/>
      <c r="O73" s="9"/>
      <c r="P73" s="530"/>
      <c r="Q73" s="1025">
        <f t="shared" si="0"/>
        <v>495593.45000000007</v>
      </c>
      <c r="R73" s="1023"/>
      <c r="S73" s="1023"/>
      <c r="T73" s="1023"/>
      <c r="U73" s="1026">
        <f t="shared" ref="U73:U90" si="8">(G73*40%)/3</f>
        <v>120143.86666666668</v>
      </c>
      <c r="V73" s="1027">
        <f t="shared" ref="V73:V90" si="9">SUM(R73:U73)</f>
        <v>120143.86666666668</v>
      </c>
      <c r="W73" s="530">
        <v>132000</v>
      </c>
      <c r="X73" s="530">
        <v>26400</v>
      </c>
      <c r="Y73" s="1027">
        <f t="shared" si="3"/>
        <v>158400</v>
      </c>
      <c r="Z73" s="1028">
        <f t="shared" ref="Z73:Z90" si="10">+Q73+Y73+V73+G73</f>
        <v>1675216.3166666669</v>
      </c>
      <c r="AA73" s="1028">
        <f t="shared" ref="AA73:AA90" si="11">+Z73*12</f>
        <v>20102595.800000004</v>
      </c>
    </row>
    <row r="74" spans="1:27">
      <c r="A74" s="1023">
        <v>68</v>
      </c>
      <c r="B74" s="1032" t="s">
        <v>2684</v>
      </c>
      <c r="C74" s="1032" t="s">
        <v>2685</v>
      </c>
      <c r="D74" s="563" t="s">
        <v>1053</v>
      </c>
      <c r="E74" s="529" t="s">
        <v>1021</v>
      </c>
      <c r="F74" s="521" t="s">
        <v>1006</v>
      </c>
      <c r="G74" s="530">
        <v>770701</v>
      </c>
      <c r="H74" s="1030">
        <f>G74*20%</f>
        <v>154140.20000000001</v>
      </c>
      <c r="I74" s="530"/>
      <c r="J74" s="530">
        <f>+G74*0.4</f>
        <v>308280.40000000002</v>
      </c>
      <c r="K74" s="530">
        <f>+G74*0.1</f>
        <v>77070.100000000006</v>
      </c>
      <c r="L74" s="530"/>
      <c r="M74" s="9"/>
      <c r="N74" s="9"/>
      <c r="O74" s="9"/>
      <c r="P74" s="530"/>
      <c r="Q74" s="1025">
        <f t="shared" si="0"/>
        <v>539490.70000000007</v>
      </c>
      <c r="R74" s="1023"/>
      <c r="S74" s="1023"/>
      <c r="T74" s="1023"/>
      <c r="U74" s="1026">
        <f t="shared" si="8"/>
        <v>102760.13333333335</v>
      </c>
      <c r="V74" s="1027">
        <f t="shared" si="9"/>
        <v>102760.13333333335</v>
      </c>
      <c r="W74" s="530">
        <v>132000</v>
      </c>
      <c r="X74" s="530">
        <v>26400</v>
      </c>
      <c r="Y74" s="1027">
        <f t="shared" si="3"/>
        <v>158400</v>
      </c>
      <c r="Z74" s="1028">
        <f t="shared" si="10"/>
        <v>1571351.8333333335</v>
      </c>
      <c r="AA74" s="1028">
        <f t="shared" si="11"/>
        <v>18856222</v>
      </c>
    </row>
    <row r="75" spans="1:27">
      <c r="A75" s="1023">
        <v>69</v>
      </c>
      <c r="B75" s="1032" t="s">
        <v>2686</v>
      </c>
      <c r="C75" s="1032" t="s">
        <v>2687</v>
      </c>
      <c r="D75" s="563" t="s">
        <v>1053</v>
      </c>
      <c r="E75" s="529" t="s">
        <v>1021</v>
      </c>
      <c r="F75" s="529" t="s">
        <v>1006</v>
      </c>
      <c r="G75" s="530">
        <v>770701</v>
      </c>
      <c r="H75" s="1030">
        <f>G75*20%</f>
        <v>154140.20000000001</v>
      </c>
      <c r="I75" s="530"/>
      <c r="J75" s="530">
        <f>+G75*0.3</f>
        <v>231210.3</v>
      </c>
      <c r="K75" s="530">
        <f>+G75*0.1</f>
        <v>77070.100000000006</v>
      </c>
      <c r="L75" s="9"/>
      <c r="M75" s="9"/>
      <c r="N75" s="9"/>
      <c r="O75" s="530">
        <v>154140</v>
      </c>
      <c r="P75" s="530"/>
      <c r="Q75" s="1025">
        <f t="shared" ref="Q75:Q90" si="12">SUM(H75:P75)</f>
        <v>616560.6</v>
      </c>
      <c r="R75" s="1023"/>
      <c r="S75" s="1023"/>
      <c r="T75" s="1023"/>
      <c r="U75" s="1026">
        <f t="shared" si="8"/>
        <v>102760.13333333335</v>
      </c>
      <c r="V75" s="1027">
        <f t="shared" si="9"/>
        <v>102760.13333333335</v>
      </c>
      <c r="W75" s="530">
        <v>132000</v>
      </c>
      <c r="X75" s="530">
        <v>26400</v>
      </c>
      <c r="Y75" s="1027">
        <f t="shared" ref="Y75:Y90" si="13">+W75+X75</f>
        <v>158400</v>
      </c>
      <c r="Z75" s="1028">
        <f t="shared" si="10"/>
        <v>1648421.7333333334</v>
      </c>
      <c r="AA75" s="1028">
        <f t="shared" si="11"/>
        <v>19781060.800000001</v>
      </c>
    </row>
    <row r="76" spans="1:27">
      <c r="A76" s="1023">
        <v>70</v>
      </c>
      <c r="B76" s="1032" t="s">
        <v>2580</v>
      </c>
      <c r="C76" s="1032" t="s">
        <v>2688</v>
      </c>
      <c r="D76" s="563" t="s">
        <v>1053</v>
      </c>
      <c r="E76" s="529" t="s">
        <v>1044</v>
      </c>
      <c r="F76" s="529" t="s">
        <v>1006</v>
      </c>
      <c r="G76" s="530">
        <v>770701</v>
      </c>
      <c r="H76" s="1030">
        <f>G76*15%</f>
        <v>115605.15</v>
      </c>
      <c r="I76" s="530"/>
      <c r="J76" s="530">
        <f>+G76*0.4</f>
        <v>308280.40000000002</v>
      </c>
      <c r="K76" s="530"/>
      <c r="L76" s="530"/>
      <c r="M76" s="9"/>
      <c r="N76" s="9"/>
      <c r="O76" s="9"/>
      <c r="P76" s="530"/>
      <c r="Q76" s="1025">
        <f t="shared" si="12"/>
        <v>423885.55000000005</v>
      </c>
      <c r="R76" s="1023"/>
      <c r="S76" s="1023"/>
      <c r="T76" s="1023"/>
      <c r="U76" s="1026">
        <f t="shared" si="8"/>
        <v>102760.13333333335</v>
      </c>
      <c r="V76" s="1027">
        <f t="shared" si="9"/>
        <v>102760.13333333335</v>
      </c>
      <c r="W76" s="530">
        <v>132000</v>
      </c>
      <c r="X76" s="530">
        <v>26400</v>
      </c>
      <c r="Y76" s="1027">
        <f t="shared" si="13"/>
        <v>158400</v>
      </c>
      <c r="Z76" s="1028">
        <f t="shared" si="10"/>
        <v>1455746.6833333333</v>
      </c>
      <c r="AA76" s="1028">
        <f t="shared" si="11"/>
        <v>17468960.199999999</v>
      </c>
    </row>
    <row r="77" spans="1:27">
      <c r="A77" s="1023">
        <v>71</v>
      </c>
      <c r="B77" s="1029" t="s">
        <v>2676</v>
      </c>
      <c r="C77" s="1029" t="s">
        <v>2689</v>
      </c>
      <c r="D77" s="563" t="s">
        <v>1053</v>
      </c>
      <c r="E77" s="529" t="s">
        <v>253</v>
      </c>
      <c r="F77" s="529" t="s">
        <v>254</v>
      </c>
      <c r="G77" s="530">
        <v>740561</v>
      </c>
      <c r="H77" s="1030">
        <f>G77*15%</f>
        <v>111084.15</v>
      </c>
      <c r="I77" s="539"/>
      <c r="J77" s="530">
        <f>+G77*20%</f>
        <v>148112.20000000001</v>
      </c>
      <c r="K77" s="530"/>
      <c r="L77" s="530"/>
      <c r="M77" s="9"/>
      <c r="N77" s="9"/>
      <c r="O77" s="9"/>
      <c r="P77" s="530"/>
      <c r="Q77" s="1025">
        <f t="shared" si="12"/>
        <v>259196.35</v>
      </c>
      <c r="R77" s="1023"/>
      <c r="S77" s="1023"/>
      <c r="T77" s="1023"/>
      <c r="U77" s="1026">
        <f t="shared" si="8"/>
        <v>98741.466666666674</v>
      </c>
      <c r="V77" s="1027">
        <f t="shared" si="9"/>
        <v>98741.466666666674</v>
      </c>
      <c r="W77" s="530">
        <v>132000</v>
      </c>
      <c r="X77" s="530">
        <v>26400</v>
      </c>
      <c r="Y77" s="1027">
        <f t="shared" si="13"/>
        <v>158400</v>
      </c>
      <c r="Z77" s="1028">
        <f t="shared" si="10"/>
        <v>1256898.8166666667</v>
      </c>
      <c r="AA77" s="1028">
        <f t="shared" si="11"/>
        <v>15082785.800000001</v>
      </c>
    </row>
    <row r="78" spans="1:27">
      <c r="A78" s="1023">
        <v>72</v>
      </c>
      <c r="B78" s="1032" t="s">
        <v>2690</v>
      </c>
      <c r="C78" s="1032" t="s">
        <v>2691</v>
      </c>
      <c r="D78" s="563" t="s">
        <v>1053</v>
      </c>
      <c r="E78" s="540" t="s">
        <v>243</v>
      </c>
      <c r="F78" s="540" t="s">
        <v>244</v>
      </c>
      <c r="G78" s="530">
        <v>740561</v>
      </c>
      <c r="H78" s="1030">
        <f>G78*5%</f>
        <v>37028.050000000003</v>
      </c>
      <c r="I78" s="530"/>
      <c r="J78" s="530">
        <f>+G78*0.4</f>
        <v>296224.40000000002</v>
      </c>
      <c r="K78" s="530">
        <f>+G78*0.15</f>
        <v>111084.15</v>
      </c>
      <c r="L78" s="530"/>
      <c r="M78" s="9"/>
      <c r="N78" s="9"/>
      <c r="O78" s="9"/>
      <c r="P78" s="530">
        <v>111084</v>
      </c>
      <c r="Q78" s="1025">
        <f t="shared" si="12"/>
        <v>555420.6</v>
      </c>
      <c r="R78" s="1023"/>
      <c r="S78" s="1023"/>
      <c r="T78" s="1023"/>
      <c r="U78" s="1026">
        <f t="shared" si="8"/>
        <v>98741.466666666674</v>
      </c>
      <c r="V78" s="1027">
        <f t="shared" si="9"/>
        <v>98741.466666666674</v>
      </c>
      <c r="W78" s="530">
        <v>132000</v>
      </c>
      <c r="X78" s="530">
        <v>26400</v>
      </c>
      <c r="Y78" s="1027">
        <f t="shared" si="13"/>
        <v>158400</v>
      </c>
      <c r="Z78" s="1028">
        <f t="shared" si="10"/>
        <v>1553123.0666666667</v>
      </c>
      <c r="AA78" s="1028">
        <f t="shared" si="11"/>
        <v>18637476.800000001</v>
      </c>
    </row>
    <row r="79" spans="1:27" ht="28.5">
      <c r="A79" s="1023">
        <v>73</v>
      </c>
      <c r="B79" s="1033" t="s">
        <v>2692</v>
      </c>
      <c r="C79" s="1033" t="s">
        <v>2578</v>
      </c>
      <c r="D79" s="563" t="s">
        <v>1053</v>
      </c>
      <c r="E79" s="529" t="s">
        <v>248</v>
      </c>
      <c r="F79" s="529" t="s">
        <v>1001</v>
      </c>
      <c r="G79" s="530">
        <v>669861</v>
      </c>
      <c r="H79" s="1030">
        <f>G79*25%</f>
        <v>167465.25</v>
      </c>
      <c r="I79" s="530"/>
      <c r="J79" s="530">
        <f>+G79*0.4</f>
        <v>267944.40000000002</v>
      </c>
      <c r="K79" s="530">
        <f>+G79*0.15</f>
        <v>100479.15</v>
      </c>
      <c r="L79" s="530"/>
      <c r="M79" s="9"/>
      <c r="N79" s="9"/>
      <c r="O79" s="9"/>
      <c r="P79" s="530"/>
      <c r="Q79" s="1025">
        <f t="shared" si="12"/>
        <v>535888.80000000005</v>
      </c>
      <c r="R79" s="1023"/>
      <c r="S79" s="1023"/>
      <c r="T79" s="1023"/>
      <c r="U79" s="1026">
        <f t="shared" si="8"/>
        <v>89314.8</v>
      </c>
      <c r="V79" s="1027">
        <f t="shared" si="9"/>
        <v>89314.8</v>
      </c>
      <c r="W79" s="530">
        <v>132000</v>
      </c>
      <c r="X79" s="530">
        <v>26400</v>
      </c>
      <c r="Y79" s="1027">
        <f t="shared" si="13"/>
        <v>158400</v>
      </c>
      <c r="Z79" s="1028">
        <f t="shared" si="10"/>
        <v>1453464.6</v>
      </c>
      <c r="AA79" s="1028">
        <f t="shared" si="11"/>
        <v>17441575.200000003</v>
      </c>
    </row>
    <row r="80" spans="1:27">
      <c r="A80" s="1023">
        <v>74</v>
      </c>
      <c r="B80" s="1032" t="s">
        <v>2580</v>
      </c>
      <c r="C80" s="1032" t="s">
        <v>2693</v>
      </c>
      <c r="D80" s="563" t="s">
        <v>1053</v>
      </c>
      <c r="E80" s="529" t="s">
        <v>1048</v>
      </c>
      <c r="F80" s="529" t="s">
        <v>249</v>
      </c>
      <c r="G80" s="530">
        <v>614276</v>
      </c>
      <c r="H80" s="530"/>
      <c r="I80" s="530"/>
      <c r="J80" s="530"/>
      <c r="K80" s="530"/>
      <c r="L80" s="530"/>
      <c r="M80" s="9"/>
      <c r="N80" s="9"/>
      <c r="O80" s="9"/>
      <c r="P80" s="530"/>
      <c r="Q80" s="1025">
        <f t="shared" si="12"/>
        <v>0</v>
      </c>
      <c r="R80" s="1023"/>
      <c r="S80" s="1023"/>
      <c r="T80" s="1023"/>
      <c r="U80" s="1026">
        <f t="shared" si="8"/>
        <v>81903.466666666674</v>
      </c>
      <c r="V80" s="1027">
        <f t="shared" si="9"/>
        <v>81903.466666666674</v>
      </c>
      <c r="W80" s="530">
        <v>132000</v>
      </c>
      <c r="X80" s="530">
        <v>26400</v>
      </c>
      <c r="Y80" s="1027">
        <f t="shared" si="13"/>
        <v>158400</v>
      </c>
      <c r="Z80" s="1028">
        <f t="shared" si="10"/>
        <v>854579.46666666667</v>
      </c>
      <c r="AA80" s="1028">
        <f t="shared" si="11"/>
        <v>10254953.6</v>
      </c>
    </row>
    <row r="81" spans="1:27">
      <c r="A81" s="1023">
        <v>75</v>
      </c>
      <c r="B81" s="1032" t="s">
        <v>2694</v>
      </c>
      <c r="C81" s="1032" t="s">
        <v>2679</v>
      </c>
      <c r="D81" s="563" t="s">
        <v>1053</v>
      </c>
      <c r="E81" s="529" t="s">
        <v>2695</v>
      </c>
      <c r="F81" s="529" t="s">
        <v>244</v>
      </c>
      <c r="G81" s="530">
        <v>740561</v>
      </c>
      <c r="H81" s="1030">
        <f>G81*15%</f>
        <v>111084.15</v>
      </c>
      <c r="I81" s="530"/>
      <c r="J81" s="530">
        <f>+G81*0.3</f>
        <v>222168.3</v>
      </c>
      <c r="K81" s="530"/>
      <c r="L81" s="530"/>
      <c r="M81" s="9"/>
      <c r="N81" s="9"/>
      <c r="O81" s="9"/>
      <c r="P81" s="530"/>
      <c r="Q81" s="1025">
        <f t="shared" si="12"/>
        <v>333252.44999999995</v>
      </c>
      <c r="R81" s="1023"/>
      <c r="S81" s="1023"/>
      <c r="T81" s="1023"/>
      <c r="U81" s="1026">
        <f t="shared" si="8"/>
        <v>98741.466666666674</v>
      </c>
      <c r="V81" s="1027">
        <f t="shared" si="9"/>
        <v>98741.466666666674</v>
      </c>
      <c r="W81" s="530">
        <v>132000</v>
      </c>
      <c r="X81" s="530">
        <v>26400</v>
      </c>
      <c r="Y81" s="1027">
        <f t="shared" si="13"/>
        <v>158400</v>
      </c>
      <c r="Z81" s="1028">
        <f t="shared" si="10"/>
        <v>1330954.9166666665</v>
      </c>
      <c r="AA81" s="1028">
        <f t="shared" si="11"/>
        <v>15971458.999999998</v>
      </c>
    </row>
    <row r="82" spans="1:27">
      <c r="A82" s="1023">
        <v>76</v>
      </c>
      <c r="B82" s="1032" t="s">
        <v>2696</v>
      </c>
      <c r="C82" s="1032" t="s">
        <v>2697</v>
      </c>
      <c r="D82" s="563" t="s">
        <v>1053</v>
      </c>
      <c r="E82" s="540" t="s">
        <v>243</v>
      </c>
      <c r="F82" s="540" t="s">
        <v>244</v>
      </c>
      <c r="G82" s="530">
        <v>740561</v>
      </c>
      <c r="H82" s="1030">
        <f>G82*10%</f>
        <v>74056.100000000006</v>
      </c>
      <c r="I82" s="530"/>
      <c r="J82" s="530">
        <f>+G82*0.25</f>
        <v>185140.25</v>
      </c>
      <c r="K82" s="530"/>
      <c r="L82" s="530"/>
      <c r="M82" s="9"/>
      <c r="N82" s="9"/>
      <c r="O82" s="9"/>
      <c r="P82" s="530"/>
      <c r="Q82" s="1025">
        <f t="shared" si="12"/>
        <v>259196.35</v>
      </c>
      <c r="R82" s="1023"/>
      <c r="S82" s="1023"/>
      <c r="T82" s="1023"/>
      <c r="U82" s="1026">
        <f t="shared" si="8"/>
        <v>98741.466666666674</v>
      </c>
      <c r="V82" s="1027">
        <f t="shared" si="9"/>
        <v>98741.466666666674</v>
      </c>
      <c r="W82" s="530">
        <v>132000</v>
      </c>
      <c r="X82" s="530">
        <v>26400</v>
      </c>
      <c r="Y82" s="1027">
        <f t="shared" si="13"/>
        <v>158400</v>
      </c>
      <c r="Z82" s="1028">
        <f t="shared" si="10"/>
        <v>1256898.8166666667</v>
      </c>
      <c r="AA82" s="1028">
        <f t="shared" si="11"/>
        <v>15082785.800000001</v>
      </c>
    </row>
    <row r="83" spans="1:27">
      <c r="A83" s="1023">
        <v>77</v>
      </c>
      <c r="B83" s="1032" t="s">
        <v>2698</v>
      </c>
      <c r="C83" s="1032" t="s">
        <v>2699</v>
      </c>
      <c r="D83" s="563" t="s">
        <v>1053</v>
      </c>
      <c r="E83" s="529" t="s">
        <v>815</v>
      </c>
      <c r="F83" s="529" t="s">
        <v>2700</v>
      </c>
      <c r="G83" s="530">
        <v>570953</v>
      </c>
      <c r="H83" s="1030">
        <f>G83*25%</f>
        <v>142738.25</v>
      </c>
      <c r="I83" s="530"/>
      <c r="J83" s="530"/>
      <c r="K83" s="530"/>
      <c r="L83" s="530"/>
      <c r="M83" s="9"/>
      <c r="N83" s="9"/>
      <c r="O83" s="9"/>
      <c r="P83" s="530"/>
      <c r="Q83" s="1025">
        <f t="shared" si="12"/>
        <v>142738.25</v>
      </c>
      <c r="R83" s="1023"/>
      <c r="S83" s="1023"/>
      <c r="T83" s="1023"/>
      <c r="U83" s="1026">
        <f t="shared" si="8"/>
        <v>76127.066666666666</v>
      </c>
      <c r="V83" s="1027">
        <f t="shared" si="9"/>
        <v>76127.066666666666</v>
      </c>
      <c r="W83" s="530">
        <v>132000</v>
      </c>
      <c r="X83" s="530">
        <v>26400</v>
      </c>
      <c r="Y83" s="1027">
        <f t="shared" si="13"/>
        <v>158400</v>
      </c>
      <c r="Z83" s="1028">
        <f t="shared" si="10"/>
        <v>948218.31666666665</v>
      </c>
      <c r="AA83" s="1028">
        <f t="shared" si="11"/>
        <v>11378619.800000001</v>
      </c>
    </row>
    <row r="84" spans="1:27">
      <c r="A84" s="1023">
        <v>78</v>
      </c>
      <c r="B84" s="1032" t="s">
        <v>2696</v>
      </c>
      <c r="C84" s="1032" t="s">
        <v>2701</v>
      </c>
      <c r="D84" s="563" t="s">
        <v>1053</v>
      </c>
      <c r="E84" s="529" t="s">
        <v>822</v>
      </c>
      <c r="F84" s="540" t="s">
        <v>244</v>
      </c>
      <c r="G84" s="530">
        <v>740561</v>
      </c>
      <c r="H84" s="530"/>
      <c r="I84" s="530"/>
      <c r="J84" s="530">
        <f>+G84*0.1</f>
        <v>74056.100000000006</v>
      </c>
      <c r="K84" s="1038"/>
      <c r="L84" s="1038"/>
      <c r="M84" s="9"/>
      <c r="N84" s="9"/>
      <c r="O84" s="9"/>
      <c r="P84" s="530"/>
      <c r="Q84" s="1025">
        <f t="shared" si="12"/>
        <v>74056.100000000006</v>
      </c>
      <c r="R84" s="1023"/>
      <c r="S84" s="1023"/>
      <c r="T84" s="1023"/>
      <c r="U84" s="1026">
        <f t="shared" si="8"/>
        <v>98741.466666666674</v>
      </c>
      <c r="V84" s="1027">
        <f t="shared" si="9"/>
        <v>98741.466666666674</v>
      </c>
      <c r="W84" s="530">
        <v>132000</v>
      </c>
      <c r="X84" s="530">
        <v>26400</v>
      </c>
      <c r="Y84" s="1027">
        <f t="shared" si="13"/>
        <v>158400</v>
      </c>
      <c r="Z84" s="1028">
        <f t="shared" si="10"/>
        <v>1071758.5666666667</v>
      </c>
      <c r="AA84" s="1028">
        <f t="shared" si="11"/>
        <v>12861102.800000001</v>
      </c>
    </row>
    <row r="85" spans="1:27">
      <c r="A85" s="1023">
        <v>79</v>
      </c>
      <c r="B85" s="1032" t="s">
        <v>2702</v>
      </c>
      <c r="C85" s="1032" t="s">
        <v>2703</v>
      </c>
      <c r="D85" s="563" t="s">
        <v>1053</v>
      </c>
      <c r="E85" s="529" t="s">
        <v>2704</v>
      </c>
      <c r="F85" s="529" t="s">
        <v>1001</v>
      </c>
      <c r="G85" s="530">
        <v>669861</v>
      </c>
      <c r="H85" s="530"/>
      <c r="I85" s="530"/>
      <c r="J85" s="530"/>
      <c r="K85" s="1038"/>
      <c r="L85" s="1038"/>
      <c r="M85" s="9"/>
      <c r="N85" s="9"/>
      <c r="O85" s="9"/>
      <c r="P85" s="530"/>
      <c r="Q85" s="1025">
        <f t="shared" si="12"/>
        <v>0</v>
      </c>
      <c r="R85" s="1023"/>
      <c r="S85" s="1023"/>
      <c r="T85" s="1023"/>
      <c r="U85" s="1026">
        <f t="shared" si="8"/>
        <v>89314.8</v>
      </c>
      <c r="V85" s="1027">
        <f t="shared" si="9"/>
        <v>89314.8</v>
      </c>
      <c r="W85" s="530">
        <v>132000</v>
      </c>
      <c r="X85" s="530">
        <v>26400</v>
      </c>
      <c r="Y85" s="1027">
        <f t="shared" si="13"/>
        <v>158400</v>
      </c>
      <c r="Z85" s="1028">
        <f t="shared" si="10"/>
        <v>917575.8</v>
      </c>
      <c r="AA85" s="1028">
        <f t="shared" si="11"/>
        <v>11010909.600000001</v>
      </c>
    </row>
    <row r="86" spans="1:27">
      <c r="A86" s="1023">
        <v>80</v>
      </c>
      <c r="B86" s="1032" t="s">
        <v>2705</v>
      </c>
      <c r="C86" s="1032" t="s">
        <v>2706</v>
      </c>
      <c r="D86" s="563" t="s">
        <v>1053</v>
      </c>
      <c r="E86" s="529" t="s">
        <v>2707</v>
      </c>
      <c r="F86" s="529" t="s">
        <v>2708</v>
      </c>
      <c r="G86" s="530">
        <v>550324</v>
      </c>
      <c r="H86" s="1030">
        <f>G86*25%</f>
        <v>137581</v>
      </c>
      <c r="I86" s="530"/>
      <c r="J86" s="530">
        <f>+G86*0.25</f>
        <v>137581</v>
      </c>
      <c r="K86" s="1038"/>
      <c r="L86" s="1038"/>
      <c r="M86" s="9"/>
      <c r="N86" s="9"/>
      <c r="O86" s="9"/>
      <c r="P86" s="530"/>
      <c r="Q86" s="1025">
        <f t="shared" si="12"/>
        <v>275162</v>
      </c>
      <c r="R86" s="1023"/>
      <c r="S86" s="1023"/>
      <c r="T86" s="1023"/>
      <c r="U86" s="1026">
        <f t="shared" si="8"/>
        <v>73376.53333333334</v>
      </c>
      <c r="V86" s="1027">
        <f t="shared" si="9"/>
        <v>73376.53333333334</v>
      </c>
      <c r="W86" s="530">
        <v>132000</v>
      </c>
      <c r="X86" s="530">
        <v>26400</v>
      </c>
      <c r="Y86" s="1027">
        <f t="shared" si="13"/>
        <v>158400</v>
      </c>
      <c r="Z86" s="1028">
        <f t="shared" si="10"/>
        <v>1057262.5333333332</v>
      </c>
      <c r="AA86" s="1028">
        <f t="shared" si="11"/>
        <v>12687150.399999999</v>
      </c>
    </row>
    <row r="87" spans="1:27">
      <c r="A87" s="1023">
        <v>81</v>
      </c>
      <c r="B87" s="1032" t="s">
        <v>2630</v>
      </c>
      <c r="C87" s="1032" t="s">
        <v>2709</v>
      </c>
      <c r="D87" s="563" t="s">
        <v>1053</v>
      </c>
      <c r="E87" s="529" t="s">
        <v>2707</v>
      </c>
      <c r="F87" s="529" t="s">
        <v>2708</v>
      </c>
      <c r="G87" s="530">
        <v>550324</v>
      </c>
      <c r="H87" s="530"/>
      <c r="I87" s="530"/>
      <c r="J87" s="530">
        <f>+G87*0.25</f>
        <v>137581</v>
      </c>
      <c r="K87" s="1038"/>
      <c r="L87" s="1038"/>
      <c r="M87" s="9"/>
      <c r="N87" s="9"/>
      <c r="O87" s="9"/>
      <c r="P87" s="530"/>
      <c r="Q87" s="1025">
        <f t="shared" si="12"/>
        <v>137581</v>
      </c>
      <c r="R87" s="1023"/>
      <c r="S87" s="1023"/>
      <c r="T87" s="1023"/>
      <c r="U87" s="1026">
        <f t="shared" si="8"/>
        <v>73376.53333333334</v>
      </c>
      <c r="V87" s="1027">
        <f t="shared" si="9"/>
        <v>73376.53333333334</v>
      </c>
      <c r="W87" s="530">
        <v>132000</v>
      </c>
      <c r="X87" s="530">
        <v>26400</v>
      </c>
      <c r="Y87" s="1027">
        <f t="shared" si="13"/>
        <v>158400</v>
      </c>
      <c r="Z87" s="1028">
        <f t="shared" si="10"/>
        <v>919681.53333333333</v>
      </c>
      <c r="AA87" s="1028">
        <f t="shared" si="11"/>
        <v>11036178.4</v>
      </c>
    </row>
    <row r="88" spans="1:27">
      <c r="A88" s="1023">
        <v>82</v>
      </c>
      <c r="B88" s="1032" t="s">
        <v>2710</v>
      </c>
      <c r="C88" s="1032" t="s">
        <v>2670</v>
      </c>
      <c r="D88" s="563" t="s">
        <v>1053</v>
      </c>
      <c r="E88" s="529" t="s">
        <v>2711</v>
      </c>
      <c r="F88" s="529" t="s">
        <v>2708</v>
      </c>
      <c r="G88" s="530">
        <v>550324</v>
      </c>
      <c r="H88" s="1030">
        <f>G88*5%</f>
        <v>27516.2</v>
      </c>
      <c r="I88" s="530"/>
      <c r="J88" s="526"/>
      <c r="K88" s="1038"/>
      <c r="L88" s="1038"/>
      <c r="M88" s="9"/>
      <c r="N88" s="9"/>
      <c r="O88" s="9"/>
      <c r="P88" s="530">
        <f>G88*0.4</f>
        <v>220129.6</v>
      </c>
      <c r="Q88" s="1025">
        <f t="shared" si="12"/>
        <v>247645.80000000002</v>
      </c>
      <c r="R88" s="1023"/>
      <c r="S88" s="1023"/>
      <c r="T88" s="1023"/>
      <c r="U88" s="1026">
        <f t="shared" si="8"/>
        <v>73376.53333333334</v>
      </c>
      <c r="V88" s="1027">
        <f t="shared" si="9"/>
        <v>73376.53333333334</v>
      </c>
      <c r="W88" s="530">
        <v>132000</v>
      </c>
      <c r="X88" s="530">
        <v>26400</v>
      </c>
      <c r="Y88" s="1027">
        <f t="shared" si="13"/>
        <v>158400</v>
      </c>
      <c r="Z88" s="1028">
        <f t="shared" si="10"/>
        <v>1029746.3333333334</v>
      </c>
      <c r="AA88" s="1028">
        <f t="shared" si="11"/>
        <v>12356956</v>
      </c>
    </row>
    <row r="89" spans="1:27">
      <c r="A89" s="1023">
        <v>83</v>
      </c>
      <c r="B89" s="1032" t="s">
        <v>2712</v>
      </c>
      <c r="C89" s="1032" t="s">
        <v>2663</v>
      </c>
      <c r="D89" s="563" t="s">
        <v>1053</v>
      </c>
      <c r="E89" s="529" t="s">
        <v>273</v>
      </c>
      <c r="F89" s="529" t="s">
        <v>2713</v>
      </c>
      <c r="G89" s="530">
        <v>505706</v>
      </c>
      <c r="H89" s="1030">
        <f>G89*20%</f>
        <v>101141.20000000001</v>
      </c>
      <c r="I89" s="530"/>
      <c r="J89" s="530">
        <f t="shared" ref="J89:J90" si="14">+G89*0.25</f>
        <v>126426.5</v>
      </c>
      <c r="K89" s="1038"/>
      <c r="L89" s="1038"/>
      <c r="M89" s="9"/>
      <c r="N89" s="9"/>
      <c r="O89" s="9"/>
      <c r="P89" s="530"/>
      <c r="Q89" s="1025">
        <f t="shared" si="12"/>
        <v>227567.7</v>
      </c>
      <c r="R89" s="1023"/>
      <c r="S89" s="1023"/>
      <c r="T89" s="1023"/>
      <c r="U89" s="1026">
        <f t="shared" si="8"/>
        <v>67427.466666666674</v>
      </c>
      <c r="V89" s="1027">
        <f t="shared" si="9"/>
        <v>67427.466666666674</v>
      </c>
      <c r="W89" s="530">
        <v>132000</v>
      </c>
      <c r="X89" s="530">
        <v>26400</v>
      </c>
      <c r="Y89" s="1027">
        <f t="shared" si="13"/>
        <v>158400</v>
      </c>
      <c r="Z89" s="1028">
        <f t="shared" si="10"/>
        <v>959101.16666666674</v>
      </c>
      <c r="AA89" s="1028">
        <f t="shared" si="11"/>
        <v>11509214</v>
      </c>
    </row>
    <row r="90" spans="1:27">
      <c r="A90" s="1023">
        <v>84</v>
      </c>
      <c r="B90" s="1032" t="s">
        <v>2714</v>
      </c>
      <c r="C90" s="1032" t="s">
        <v>2697</v>
      </c>
      <c r="D90" s="563" t="s">
        <v>1053</v>
      </c>
      <c r="E90" s="529" t="s">
        <v>273</v>
      </c>
      <c r="F90" s="529" t="s">
        <v>2713</v>
      </c>
      <c r="G90" s="530">
        <v>505706</v>
      </c>
      <c r="H90" s="1030">
        <f>G90*15%</f>
        <v>75855.899999999994</v>
      </c>
      <c r="I90" s="530"/>
      <c r="J90" s="530">
        <f t="shared" si="14"/>
        <v>126426.5</v>
      </c>
      <c r="K90" s="1038"/>
      <c r="L90" s="1038"/>
      <c r="M90" s="9"/>
      <c r="N90" s="9"/>
      <c r="O90" s="9"/>
      <c r="P90" s="530"/>
      <c r="Q90" s="1025">
        <f t="shared" si="12"/>
        <v>202282.4</v>
      </c>
      <c r="R90" s="1023"/>
      <c r="S90" s="1023"/>
      <c r="T90" s="1023"/>
      <c r="U90" s="1026">
        <f t="shared" si="8"/>
        <v>67427.466666666674</v>
      </c>
      <c r="V90" s="1027">
        <f t="shared" si="9"/>
        <v>67427.466666666674</v>
      </c>
      <c r="W90" s="530">
        <v>132000</v>
      </c>
      <c r="X90" s="530">
        <v>26400</v>
      </c>
      <c r="Y90" s="1027">
        <f t="shared" si="13"/>
        <v>158400</v>
      </c>
      <c r="Z90" s="1028">
        <f t="shared" si="10"/>
        <v>933815.8666666667</v>
      </c>
      <c r="AA90" s="1028">
        <f t="shared" si="11"/>
        <v>11205790.4</v>
      </c>
    </row>
    <row r="91" spans="1:27">
      <c r="A91" s="9"/>
      <c r="B91" s="9"/>
      <c r="C91" s="9"/>
      <c r="D91" s="9"/>
      <c r="E91" s="9"/>
      <c r="F91" s="9"/>
      <c r="G91" s="1039">
        <f>SUM(G7:G90)</f>
        <v>59596551</v>
      </c>
      <c r="H91" s="1039">
        <f t="shared" ref="H91:Y91" si="15">SUM(H7:H90)</f>
        <v>4961082.2000000011</v>
      </c>
      <c r="I91" s="1039">
        <f t="shared" si="15"/>
        <v>135161.85</v>
      </c>
      <c r="J91" s="1039">
        <f t="shared" si="15"/>
        <v>8780012.5500000007</v>
      </c>
      <c r="K91" s="1039">
        <f t="shared" si="15"/>
        <v>1878087.65</v>
      </c>
      <c r="L91" s="1039">
        <f t="shared" si="15"/>
        <v>0</v>
      </c>
      <c r="M91" s="1039">
        <f t="shared" si="15"/>
        <v>0</v>
      </c>
      <c r="N91" s="1039">
        <f t="shared" si="15"/>
        <v>0</v>
      </c>
      <c r="O91" s="1039">
        <f t="shared" si="15"/>
        <v>154140</v>
      </c>
      <c r="P91" s="1039">
        <f t="shared" si="15"/>
        <v>331213.59999999998</v>
      </c>
      <c r="Q91" s="1039">
        <f t="shared" si="15"/>
        <v>16207122.699999997</v>
      </c>
      <c r="R91" s="1039">
        <f t="shared" si="15"/>
        <v>0</v>
      </c>
      <c r="S91" s="1039">
        <f t="shared" si="15"/>
        <v>0</v>
      </c>
      <c r="T91" s="1039">
        <f t="shared" si="15"/>
        <v>0</v>
      </c>
      <c r="U91" s="1039">
        <f t="shared" si="15"/>
        <v>7946206.8000000007</v>
      </c>
      <c r="V91" s="1039">
        <f t="shared" si="15"/>
        <v>7946206.8000000007</v>
      </c>
      <c r="W91" s="1039">
        <f t="shared" si="15"/>
        <v>10956000</v>
      </c>
      <c r="X91" s="1039">
        <f t="shared" si="15"/>
        <v>2191200</v>
      </c>
      <c r="Y91" s="1039">
        <f t="shared" si="15"/>
        <v>13147200</v>
      </c>
      <c r="Z91" s="1040">
        <f>SUM(Z7:Z90)</f>
        <v>96897080.499999985</v>
      </c>
      <c r="AA91" s="1040">
        <f>SUM(AA7:AA90)</f>
        <v>1162764966</v>
      </c>
    </row>
    <row r="93" spans="1:27">
      <c r="Z93" s="832">
        <f>Y91+V91+Q91+G91</f>
        <v>96897080.5</v>
      </c>
      <c r="AA93" s="832">
        <f>Z93*12</f>
        <v>1162764966</v>
      </c>
    </row>
    <row r="94" spans="1:27">
      <c r="Z94" s="832">
        <f>Z93-Z91</f>
        <v>0</v>
      </c>
      <c r="AA94" s="832">
        <f>AA93-AA91</f>
        <v>0</v>
      </c>
    </row>
  </sheetData>
  <mergeCells count="29">
    <mergeCell ref="A2:F2"/>
    <mergeCell ref="G2:Y2"/>
    <mergeCell ref="Z2:Z5"/>
    <mergeCell ref="AA2:AA5"/>
    <mergeCell ref="A3:A5"/>
    <mergeCell ref="B3:B5"/>
    <mergeCell ref="C3:C5"/>
    <mergeCell ref="D3:D5"/>
    <mergeCell ref="E3:E5"/>
    <mergeCell ref="F3:G4"/>
    <mergeCell ref="H3:Q3"/>
    <mergeCell ref="R3:V3"/>
    <mergeCell ref="W3:Y3"/>
    <mergeCell ref="H4:H5"/>
    <mergeCell ref="I4:I5"/>
    <mergeCell ref="J4:J5"/>
    <mergeCell ref="K4:K5"/>
    <mergeCell ref="L4:L5"/>
    <mergeCell ref="M4:N4"/>
    <mergeCell ref="O4:O5"/>
    <mergeCell ref="W4:W5"/>
    <mergeCell ref="X4:X5"/>
    <mergeCell ref="Y4:Y5"/>
    <mergeCell ref="P4:P5"/>
    <mergeCell ref="Q4:Q5"/>
    <mergeCell ref="R4:R5"/>
    <mergeCell ref="S4:T4"/>
    <mergeCell ref="U4:U5"/>
    <mergeCell ref="V4:V5"/>
  </mergeCells>
  <pageMargins left="0.2" right="0.2" top="0.25" bottom="0.25" header="0.3" footer="0.3"/>
  <pageSetup scale="7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27" sqref="D27"/>
    </sheetView>
  </sheetViews>
  <sheetFormatPr defaultRowHeight="14.25"/>
  <cols>
    <col min="1" max="1" width="5.5703125" style="806" customWidth="1"/>
    <col min="2" max="2" width="26.28515625" style="580" customWidth="1"/>
    <col min="3" max="3" width="14.5703125" style="580" customWidth="1"/>
    <col min="4" max="4" width="18.7109375" style="580" customWidth="1"/>
    <col min="5" max="5" width="14.85546875" style="805" customWidth="1"/>
    <col min="6" max="6" width="15.28515625" style="580" customWidth="1"/>
    <col min="7" max="16384" width="9.140625" style="580"/>
  </cols>
  <sheetData>
    <row r="1" spans="1:6" ht="15">
      <c r="A1" s="1612" t="s">
        <v>1633</v>
      </c>
      <c r="B1" s="1612"/>
      <c r="C1" s="1612"/>
      <c r="D1" s="1612"/>
      <c r="E1" s="1612"/>
      <c r="F1" s="1612"/>
    </row>
    <row r="3" spans="1:6" ht="15">
      <c r="A3" s="818" t="s">
        <v>1</v>
      </c>
      <c r="B3" s="819" t="s">
        <v>1443</v>
      </c>
      <c r="C3" s="819" t="s">
        <v>403</v>
      </c>
      <c r="D3" s="819" t="s">
        <v>315</v>
      </c>
      <c r="E3" s="820" t="s">
        <v>397</v>
      </c>
      <c r="F3" s="22" t="s">
        <v>179</v>
      </c>
    </row>
    <row r="4" spans="1:6" ht="42.75">
      <c r="A4" s="579">
        <v>1</v>
      </c>
      <c r="B4" s="95" t="s">
        <v>1634</v>
      </c>
      <c r="C4" s="501" t="s">
        <v>317</v>
      </c>
      <c r="D4" s="501">
        <v>50</v>
      </c>
      <c r="E4" s="799">
        <v>50000</v>
      </c>
      <c r="F4" s="821">
        <f>+D4*E4</f>
        <v>2500000</v>
      </c>
    </row>
    <row r="5" spans="1:6" ht="42.75">
      <c r="A5" s="579">
        <v>2</v>
      </c>
      <c r="B5" s="95" t="s">
        <v>1635</v>
      </c>
      <c r="C5" s="501" t="s">
        <v>317</v>
      </c>
      <c r="D5" s="501">
        <v>800</v>
      </c>
      <c r="E5" s="799">
        <v>30000</v>
      </c>
      <c r="F5" s="821">
        <f>+D5*E5</f>
        <v>24000000</v>
      </c>
    </row>
    <row r="6" spans="1:6" ht="15">
      <c r="A6" s="579"/>
      <c r="B6" s="801" t="s">
        <v>284</v>
      </c>
      <c r="C6" s="22"/>
      <c r="D6" s="22"/>
      <c r="E6" s="802"/>
      <c r="F6" s="822">
        <f>+F4+F5</f>
        <v>26500000</v>
      </c>
    </row>
  </sheetData>
  <mergeCells count="1">
    <mergeCell ref="A1:F1"/>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N33" sqref="N33"/>
    </sheetView>
  </sheetViews>
  <sheetFormatPr defaultRowHeight="14.25"/>
  <cols>
    <col min="1" max="1" width="5.5703125" style="806" customWidth="1"/>
    <col min="2" max="2" width="26.28515625" style="580" customWidth="1"/>
    <col min="3" max="3" width="14.5703125" style="580" customWidth="1"/>
    <col min="4" max="4" width="18.7109375" style="580" customWidth="1"/>
    <col min="5" max="5" width="14.85546875" style="805" customWidth="1"/>
    <col min="6" max="6" width="15.28515625" style="580" customWidth="1"/>
    <col min="7" max="16384" width="9.140625" style="580"/>
  </cols>
  <sheetData>
    <row r="1" spans="1:6" ht="15">
      <c r="A1" s="1612" t="s">
        <v>1636</v>
      </c>
      <c r="B1" s="1612"/>
      <c r="C1" s="1612"/>
      <c r="D1" s="1612"/>
      <c r="E1" s="1612"/>
      <c r="F1" s="1612"/>
    </row>
    <row r="3" spans="1:6" ht="15">
      <c r="A3" s="818" t="s">
        <v>1</v>
      </c>
      <c r="B3" s="819" t="s">
        <v>1443</v>
      </c>
      <c r="C3" s="819" t="s">
        <v>403</v>
      </c>
      <c r="D3" s="819" t="s">
        <v>315</v>
      </c>
      <c r="E3" s="820" t="s">
        <v>397</v>
      </c>
      <c r="F3" s="22" t="s">
        <v>179</v>
      </c>
    </row>
    <row r="4" spans="1:6" ht="42.75">
      <c r="A4" s="579">
        <v>1</v>
      </c>
      <c r="B4" s="95" t="s">
        <v>1637</v>
      </c>
      <c r="C4" s="501" t="s">
        <v>317</v>
      </c>
      <c r="D4" s="501">
        <v>750</v>
      </c>
      <c r="E4" s="799">
        <v>20000</v>
      </c>
      <c r="F4" s="821">
        <f>+D4*E4</f>
        <v>15000000</v>
      </c>
    </row>
    <row r="5" spans="1:6" ht="15">
      <c r="A5" s="579"/>
      <c r="B5" s="801" t="s">
        <v>284</v>
      </c>
      <c r="C5" s="22"/>
      <c r="D5" s="22"/>
      <c r="E5" s="802"/>
      <c r="F5" s="822">
        <f>+F4</f>
        <v>15000000</v>
      </c>
    </row>
  </sheetData>
  <mergeCells count="1">
    <mergeCell ref="A1:F1"/>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D12" sqref="D12"/>
    </sheetView>
  </sheetViews>
  <sheetFormatPr defaultRowHeight="14.25"/>
  <cols>
    <col min="1" max="1" width="5.5703125" style="806" customWidth="1"/>
    <col min="2" max="2" width="26.28515625" style="580" customWidth="1"/>
    <col min="3" max="3" width="14.5703125" style="580" customWidth="1"/>
    <col min="4" max="4" width="18.7109375" style="580" customWidth="1"/>
    <col min="5" max="5" width="14.85546875" style="805" customWidth="1"/>
    <col min="6" max="6" width="15.28515625" style="580" customWidth="1"/>
    <col min="7" max="16384" width="9.140625" style="580"/>
  </cols>
  <sheetData>
    <row r="1" spans="1:6" ht="15">
      <c r="A1" s="1612" t="s">
        <v>1638</v>
      </c>
      <c r="B1" s="1612"/>
      <c r="C1" s="1612"/>
      <c r="D1" s="1612"/>
      <c r="E1" s="1612"/>
      <c r="F1" s="1612"/>
    </row>
    <row r="3" spans="1:6" ht="15">
      <c r="A3" s="818" t="s">
        <v>1</v>
      </c>
      <c r="B3" s="819" t="s">
        <v>1443</v>
      </c>
      <c r="C3" s="819" t="s">
        <v>403</v>
      </c>
      <c r="D3" s="819" t="s">
        <v>315</v>
      </c>
      <c r="E3" s="820" t="s">
        <v>397</v>
      </c>
      <c r="F3" s="22" t="s">
        <v>179</v>
      </c>
    </row>
    <row r="4" spans="1:6" ht="28.5">
      <c r="A4" s="579">
        <v>1</v>
      </c>
      <c r="B4" s="95" t="s">
        <v>1639</v>
      </c>
      <c r="C4" s="579" t="s">
        <v>317</v>
      </c>
      <c r="D4" s="579">
        <v>2000</v>
      </c>
      <c r="E4" s="799">
        <v>6000</v>
      </c>
      <c r="F4" s="821">
        <f>+D4*E4</f>
        <v>12000000</v>
      </c>
    </row>
    <row r="5" spans="1:6" ht="15">
      <c r="A5" s="579"/>
      <c r="B5" s="801" t="s">
        <v>284</v>
      </c>
      <c r="C5" s="22"/>
      <c r="D5" s="22"/>
      <c r="E5" s="802"/>
      <c r="F5" s="822">
        <f>+F4</f>
        <v>12000000</v>
      </c>
    </row>
  </sheetData>
  <mergeCells count="1">
    <mergeCell ref="A1:F1"/>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E16" sqref="E16"/>
    </sheetView>
  </sheetViews>
  <sheetFormatPr defaultRowHeight="14.25"/>
  <cols>
    <col min="1" max="1" width="5.5703125" style="806" customWidth="1"/>
    <col min="2" max="2" width="26.28515625" style="580" customWidth="1"/>
    <col min="3" max="3" width="14.5703125" style="580" customWidth="1"/>
    <col min="4" max="4" width="18.7109375" style="580" customWidth="1"/>
    <col min="5" max="5" width="14.85546875" style="805" customWidth="1"/>
    <col min="6" max="6" width="15.28515625" style="580" customWidth="1"/>
    <col min="7" max="16384" width="9.140625" style="580"/>
  </cols>
  <sheetData>
    <row r="1" spans="1:6" ht="15">
      <c r="A1" s="1612" t="s">
        <v>1640</v>
      </c>
      <c r="B1" s="1612"/>
      <c r="C1" s="1612"/>
      <c r="D1" s="1612"/>
      <c r="E1" s="1612"/>
      <c r="F1" s="1612"/>
    </row>
    <row r="3" spans="1:6" customFormat="1" ht="30">
      <c r="A3" s="824" t="s">
        <v>1</v>
      </c>
      <c r="B3" s="825" t="s">
        <v>338</v>
      </c>
      <c r="C3" s="826" t="s">
        <v>403</v>
      </c>
      <c r="D3" s="825" t="s">
        <v>315</v>
      </c>
      <c r="E3" s="820" t="s">
        <v>166</v>
      </c>
      <c r="F3" s="820" t="s">
        <v>179</v>
      </c>
    </row>
    <row r="4" spans="1:6" customFormat="1" ht="28.5">
      <c r="A4" s="579">
        <v>1</v>
      </c>
      <c r="B4" s="793" t="s">
        <v>1641</v>
      </c>
      <c r="C4" s="579" t="s">
        <v>1642</v>
      </c>
      <c r="D4" s="579">
        <v>200</v>
      </c>
      <c r="E4" s="827">
        <v>450</v>
      </c>
      <c r="F4" s="827">
        <f>+D4*E4</f>
        <v>90000</v>
      </c>
    </row>
    <row r="5" spans="1:6" customFormat="1" ht="15">
      <c r="A5" s="579">
        <v>3</v>
      </c>
      <c r="B5" s="793" t="s">
        <v>1643</v>
      </c>
      <c r="C5" s="579" t="s">
        <v>1644</v>
      </c>
      <c r="D5" s="579" t="s">
        <v>1645</v>
      </c>
      <c r="E5" s="827">
        <v>12000</v>
      </c>
      <c r="F5" s="827">
        <f>+E5*4*10</f>
        <v>480000</v>
      </c>
    </row>
    <row r="6" spans="1:6" customFormat="1" ht="15">
      <c r="A6" s="579">
        <v>4</v>
      </c>
      <c r="B6" s="793" t="s">
        <v>1646</v>
      </c>
      <c r="C6" s="579" t="s">
        <v>1642</v>
      </c>
      <c r="D6" s="579">
        <v>60</v>
      </c>
      <c r="E6" s="827">
        <v>12000</v>
      </c>
      <c r="F6" s="827">
        <f>+D6*E6</f>
        <v>720000</v>
      </c>
    </row>
    <row r="7" spans="1:6" customFormat="1" ht="15">
      <c r="A7" s="579">
        <v>5</v>
      </c>
      <c r="B7" s="793" t="s">
        <v>1647</v>
      </c>
      <c r="C7" s="579" t="s">
        <v>1642</v>
      </c>
      <c r="D7" s="579">
        <v>60</v>
      </c>
      <c r="E7" s="827">
        <v>500</v>
      </c>
      <c r="F7" s="827">
        <f>+D7*E7</f>
        <v>30000</v>
      </c>
    </row>
    <row r="8" spans="1:6" customFormat="1" ht="28.5">
      <c r="A8" s="579">
        <v>6</v>
      </c>
      <c r="B8" s="793" t="s">
        <v>1648</v>
      </c>
      <c r="C8" s="579" t="s">
        <v>1642</v>
      </c>
      <c r="D8" s="579">
        <v>35</v>
      </c>
      <c r="E8" s="827">
        <v>20000</v>
      </c>
      <c r="F8" s="827">
        <f>+D8*E8</f>
        <v>700000</v>
      </c>
    </row>
    <row r="9" spans="1:6" customFormat="1" ht="28.5">
      <c r="A9" s="579">
        <v>7</v>
      </c>
      <c r="B9" s="793" t="s">
        <v>1649</v>
      </c>
      <c r="C9" s="579" t="s">
        <v>1642</v>
      </c>
      <c r="D9" s="579">
        <v>35</v>
      </c>
      <c r="E9" s="827">
        <v>20000</v>
      </c>
      <c r="F9" s="827">
        <f>+D9*E9</f>
        <v>700000</v>
      </c>
    </row>
    <row r="10" spans="1:6" customFormat="1" ht="28.5">
      <c r="A10" s="579">
        <v>8</v>
      </c>
      <c r="B10" s="793" t="s">
        <v>1650</v>
      </c>
      <c r="C10" s="579" t="s">
        <v>1651</v>
      </c>
      <c r="D10" s="579">
        <v>14</v>
      </c>
      <c r="E10" s="827">
        <v>20000</v>
      </c>
      <c r="F10" s="827">
        <f>+D10*E10</f>
        <v>280000</v>
      </c>
    </row>
    <row r="11" spans="1:6" customFormat="1" ht="15">
      <c r="A11" s="1624" t="s">
        <v>450</v>
      </c>
      <c r="B11" s="1624"/>
      <c r="C11" s="1624"/>
      <c r="D11" s="818"/>
      <c r="E11" s="828"/>
      <c r="F11" s="829">
        <f>+SUM(F4:F10)</f>
        <v>3000000</v>
      </c>
    </row>
  </sheetData>
  <mergeCells count="2">
    <mergeCell ref="A1:F1"/>
    <mergeCell ref="A11:C11"/>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O33" sqref="O33"/>
    </sheetView>
  </sheetViews>
  <sheetFormatPr defaultRowHeight="14.25"/>
  <cols>
    <col min="1" max="1" width="4.7109375" customWidth="1"/>
    <col min="2" max="2" width="21.140625" customWidth="1"/>
    <col min="3" max="3" width="10.42578125" customWidth="1"/>
    <col min="4" max="4" width="10.140625" customWidth="1"/>
    <col min="5" max="5" width="15.140625" style="831" customWidth="1"/>
    <col min="6" max="6" width="24.140625" style="831" customWidth="1"/>
    <col min="7" max="7" width="27" customWidth="1"/>
    <col min="8" max="9" width="11.5703125" style="831" bestFit="1" customWidth="1"/>
    <col min="10" max="10" width="18.42578125" style="831" customWidth="1"/>
    <col min="11" max="11" width="14.28515625" style="832" bestFit="1" customWidth="1"/>
  </cols>
  <sheetData>
    <row r="1" spans="1:11" ht="15">
      <c r="A1" s="1625" t="s">
        <v>1652</v>
      </c>
      <c r="B1" s="1625"/>
      <c r="C1" s="1625"/>
      <c r="D1" s="1625"/>
      <c r="E1" s="1625"/>
      <c r="F1" s="1625"/>
      <c r="G1" s="830"/>
    </row>
    <row r="2" spans="1:11" ht="15.75">
      <c r="A2" s="833"/>
      <c r="B2" s="833"/>
      <c r="C2" s="833"/>
      <c r="D2" s="833"/>
      <c r="E2" s="834"/>
      <c r="F2" s="834"/>
      <c r="G2" s="682"/>
    </row>
    <row r="3" spans="1:11" ht="28.5">
      <c r="A3" s="780" t="s">
        <v>1</v>
      </c>
      <c r="B3" s="780" t="s">
        <v>398</v>
      </c>
      <c r="C3" s="780" t="s">
        <v>403</v>
      </c>
      <c r="D3" s="780" t="s">
        <v>327</v>
      </c>
      <c r="E3" s="835" t="s">
        <v>404</v>
      </c>
      <c r="F3" s="836" t="s">
        <v>179</v>
      </c>
      <c r="G3" s="837"/>
    </row>
    <row r="4" spans="1:11" ht="42.75">
      <c r="A4" s="501">
        <v>1</v>
      </c>
      <c r="B4" s="793" t="s">
        <v>1653</v>
      </c>
      <c r="C4" s="501" t="s">
        <v>317</v>
      </c>
      <c r="D4" s="501">
        <v>1</v>
      </c>
      <c r="E4" s="838">
        <v>30000000</v>
      </c>
      <c r="F4" s="838">
        <f>D4*E4</f>
        <v>30000000</v>
      </c>
    </row>
    <row r="5" spans="1:11" ht="42.75">
      <c r="A5" s="501">
        <v>2</v>
      </c>
      <c r="B5" s="95" t="s">
        <v>1654</v>
      </c>
      <c r="C5" s="501" t="s">
        <v>545</v>
      </c>
      <c r="D5" s="579">
        <v>1</v>
      </c>
      <c r="E5" s="838">
        <v>45000000</v>
      </c>
      <c r="F5" s="838">
        <f>D5*E5</f>
        <v>45000000</v>
      </c>
    </row>
    <row r="6" spans="1:11">
      <c r="A6" s="501">
        <v>3</v>
      </c>
      <c r="B6" s="793" t="s">
        <v>1655</v>
      </c>
      <c r="C6" s="501" t="s">
        <v>545</v>
      </c>
      <c r="D6" s="501">
        <v>1</v>
      </c>
      <c r="E6" s="838">
        <v>24000000</v>
      </c>
      <c r="F6" s="838">
        <f>D6*E6</f>
        <v>24000000</v>
      </c>
      <c r="H6" s="831">
        <v>428145</v>
      </c>
      <c r="I6" s="831">
        <f>+H6*40%</f>
        <v>171258</v>
      </c>
      <c r="J6" s="831">
        <f>+H6+I6</f>
        <v>599403</v>
      </c>
      <c r="K6" s="832">
        <f>+J6*39.7</f>
        <v>23796299.100000001</v>
      </c>
    </row>
    <row r="7" spans="1:11" ht="28.5">
      <c r="A7" s="501">
        <v>4</v>
      </c>
      <c r="B7" s="793" t="s">
        <v>1656</v>
      </c>
      <c r="C7" s="501" t="s">
        <v>545</v>
      </c>
      <c r="D7" s="501">
        <v>1</v>
      </c>
      <c r="E7" s="838">
        <v>31500000</v>
      </c>
      <c r="F7" s="838">
        <f>D7*E7</f>
        <v>31500000</v>
      </c>
      <c r="H7" s="831">
        <v>558000</v>
      </c>
      <c r="I7" s="831">
        <f>+H7*40%</f>
        <v>223200</v>
      </c>
      <c r="J7" s="831">
        <f>+H7+I7</f>
        <v>781200</v>
      </c>
    </row>
    <row r="8" spans="1:11" ht="15">
      <c r="A8" s="825"/>
      <c r="B8" s="825" t="s">
        <v>284</v>
      </c>
      <c r="C8" s="825"/>
      <c r="D8" s="825">
        <f>SUM(D4:D7)</f>
        <v>4</v>
      </c>
      <c r="E8" s="820"/>
      <c r="F8" s="820">
        <f>SUM(F4:F7)</f>
        <v>130500000</v>
      </c>
      <c r="J8" s="831">
        <f>+J7*39.7</f>
        <v>31013640.000000004</v>
      </c>
    </row>
  </sheetData>
  <mergeCells count="1">
    <mergeCell ref="A1:F1"/>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I13" sqref="I13"/>
    </sheetView>
  </sheetViews>
  <sheetFormatPr defaultRowHeight="14.25"/>
  <cols>
    <col min="1" max="1" width="4.28515625" style="580" customWidth="1"/>
    <col min="2" max="2" width="17.28515625" style="580" customWidth="1"/>
    <col min="3" max="3" width="13" style="580" customWidth="1"/>
    <col min="4" max="4" width="14.7109375" style="580" customWidth="1"/>
    <col min="5" max="5" width="7.5703125" style="700" customWidth="1"/>
    <col min="6" max="6" width="12.85546875" style="700" customWidth="1"/>
    <col min="7" max="7" width="15.5703125" style="580" customWidth="1"/>
    <col min="8" max="16384" width="9.140625" style="580"/>
  </cols>
  <sheetData>
    <row r="1" spans="1:10" ht="15.75">
      <c r="A1" s="1631" t="s">
        <v>1657</v>
      </c>
      <c r="B1" s="1631"/>
      <c r="C1" s="1631"/>
      <c r="D1" s="1631"/>
      <c r="E1" s="1631"/>
      <c r="F1" s="1631"/>
    </row>
    <row r="3" spans="1:10" customFormat="1" ht="15">
      <c r="A3" s="839" t="s">
        <v>1658</v>
      </c>
      <c r="E3" s="831"/>
      <c r="F3" s="831"/>
    </row>
    <row r="4" spans="1:10" customFormat="1" ht="15">
      <c r="A4" s="839" t="s">
        <v>1659</v>
      </c>
      <c r="E4" s="831"/>
      <c r="F4" s="831"/>
    </row>
    <row r="5" spans="1:10" customFormat="1" ht="15">
      <c r="A5" s="839" t="s">
        <v>1660</v>
      </c>
      <c r="E5" s="831"/>
      <c r="F5" s="831"/>
    </row>
    <row r="6" spans="1:10" customFormat="1">
      <c r="E6" s="831"/>
      <c r="F6" s="831"/>
    </row>
    <row r="7" spans="1:10">
      <c r="A7" s="1603" t="s">
        <v>1</v>
      </c>
      <c r="B7" s="1603" t="s">
        <v>2</v>
      </c>
      <c r="C7" s="1603" t="s">
        <v>1661</v>
      </c>
      <c r="D7" s="1603" t="s">
        <v>1662</v>
      </c>
      <c r="E7" s="1632" t="s">
        <v>397</v>
      </c>
      <c r="F7" s="1633"/>
      <c r="G7" s="1626" t="s">
        <v>1663</v>
      </c>
      <c r="J7" s="733"/>
    </row>
    <row r="8" spans="1:10" ht="42.75">
      <c r="A8" s="1605"/>
      <c r="B8" s="1605"/>
      <c r="C8" s="1605"/>
      <c r="D8" s="1605"/>
      <c r="E8" s="838" t="s">
        <v>1664</v>
      </c>
      <c r="F8" s="838" t="s">
        <v>1665</v>
      </c>
      <c r="G8" s="1627"/>
      <c r="J8" s="733"/>
    </row>
    <row r="9" spans="1:10" s="706" customFormat="1">
      <c r="A9" s="840">
        <v>1</v>
      </c>
      <c r="B9" s="841" t="s">
        <v>961</v>
      </c>
      <c r="C9" s="840"/>
      <c r="D9" s="840"/>
      <c r="E9" s="840"/>
      <c r="F9" s="842"/>
      <c r="G9" s="842">
        <f>+G10+G11</f>
        <v>7394000</v>
      </c>
      <c r="J9" s="843"/>
    </row>
    <row r="10" spans="1:10" s="706" customFormat="1" ht="85.5">
      <c r="A10" s="501">
        <v>1.1000000000000001</v>
      </c>
      <c r="B10" s="844" t="s">
        <v>1666</v>
      </c>
      <c r="C10" s="501" t="s">
        <v>1667</v>
      </c>
      <c r="D10" s="845" t="s">
        <v>1668</v>
      </c>
      <c r="E10" s="838" t="s">
        <v>1669</v>
      </c>
      <c r="F10" s="846">
        <v>3030100</v>
      </c>
      <c r="G10" s="846">
        <f>2*F10</f>
        <v>6060200</v>
      </c>
      <c r="J10" s="843"/>
    </row>
    <row r="11" spans="1:10" s="706" customFormat="1" ht="57">
      <c r="A11" s="501">
        <v>1.2</v>
      </c>
      <c r="B11" s="844" t="s">
        <v>1670</v>
      </c>
      <c r="C11" s="501" t="s">
        <v>1667</v>
      </c>
      <c r="D11" s="845" t="s">
        <v>1668</v>
      </c>
      <c r="E11" s="846">
        <v>270</v>
      </c>
      <c r="F11" s="846">
        <f>+E11*2470</f>
        <v>666900</v>
      </c>
      <c r="G11" s="846">
        <f>2*F11</f>
        <v>1333800</v>
      </c>
      <c r="J11" s="843"/>
    </row>
    <row r="12" spans="1:10" s="706" customFormat="1" ht="28.5">
      <c r="A12" s="840">
        <v>2</v>
      </c>
      <c r="B12" s="841" t="s">
        <v>1671</v>
      </c>
      <c r="C12" s="847"/>
      <c r="D12" s="848"/>
      <c r="E12" s="847"/>
      <c r="F12" s="842"/>
      <c r="G12" s="842">
        <f>+G13</f>
        <v>4940000</v>
      </c>
      <c r="J12" s="843"/>
    </row>
    <row r="13" spans="1:10" s="706" customFormat="1" ht="42.75">
      <c r="A13" s="501">
        <v>2.1</v>
      </c>
      <c r="B13" s="849" t="s">
        <v>1672</v>
      </c>
      <c r="C13" s="501" t="s">
        <v>1673</v>
      </c>
      <c r="D13" s="501" t="s">
        <v>1674</v>
      </c>
      <c r="E13" s="501">
        <v>200</v>
      </c>
      <c r="F13" s="850">
        <f>+E13*2470</f>
        <v>494000</v>
      </c>
      <c r="G13" s="838">
        <f>2*5*F13</f>
        <v>4940000</v>
      </c>
      <c r="J13" s="843"/>
    </row>
    <row r="14" spans="1:10" s="706" customFormat="1" ht="28.5">
      <c r="A14" s="840">
        <v>3</v>
      </c>
      <c r="B14" s="841" t="s">
        <v>1675</v>
      </c>
      <c r="C14" s="851"/>
      <c r="D14" s="852"/>
      <c r="E14" s="851"/>
      <c r="F14" s="842"/>
      <c r="G14" s="842">
        <f>+G15</f>
        <v>1482000</v>
      </c>
      <c r="J14" s="843"/>
    </row>
    <row r="15" spans="1:10" ht="42.75">
      <c r="A15" s="579">
        <v>3.1</v>
      </c>
      <c r="B15" s="849" t="s">
        <v>1676</v>
      </c>
      <c r="C15" s="501" t="s">
        <v>1673</v>
      </c>
      <c r="D15" s="501" t="s">
        <v>1674</v>
      </c>
      <c r="E15" s="501">
        <v>60</v>
      </c>
      <c r="F15" s="850">
        <f>+E15*2470</f>
        <v>148200</v>
      </c>
      <c r="G15" s="846">
        <f>2*5*F15</f>
        <v>1482000</v>
      </c>
      <c r="J15" s="733"/>
    </row>
    <row r="16" spans="1:10" ht="15">
      <c r="A16" s="1628" t="s">
        <v>390</v>
      </c>
      <c r="B16" s="1629"/>
      <c r="C16" s="1629"/>
      <c r="D16" s="1629"/>
      <c r="E16" s="1629"/>
      <c r="F16" s="1630"/>
      <c r="G16" s="802">
        <f>+G9+G12+G14</f>
        <v>13816000</v>
      </c>
      <c r="J16" s="733"/>
    </row>
    <row r="17" spans="1:10">
      <c r="A17" s="698"/>
      <c r="C17" s="698"/>
      <c r="D17" s="806"/>
      <c r="E17" s="806"/>
      <c r="F17" s="853"/>
      <c r="G17" s="700"/>
      <c r="J17" s="733"/>
    </row>
    <row r="18" spans="1:10" s="698" customFormat="1">
      <c r="B18" s="580" t="s">
        <v>1677</v>
      </c>
      <c r="D18" s="806"/>
      <c r="E18" s="806"/>
      <c r="F18" s="853"/>
      <c r="G18" s="231"/>
      <c r="H18" s="580"/>
      <c r="I18" s="580"/>
      <c r="J18" s="733"/>
    </row>
    <row r="19" spans="1:10" s="698" customFormat="1">
      <c r="B19" s="580" t="s">
        <v>1678</v>
      </c>
      <c r="D19" s="806"/>
      <c r="E19" s="806"/>
      <c r="F19" s="853"/>
      <c r="G19" s="700"/>
      <c r="H19" s="580"/>
      <c r="I19" s="580"/>
      <c r="J19" s="733"/>
    </row>
  </sheetData>
  <mergeCells count="8">
    <mergeCell ref="G7:G8"/>
    <mergeCell ref="A16:F16"/>
    <mergeCell ref="A1:F1"/>
    <mergeCell ref="A7:A8"/>
    <mergeCell ref="B7:B8"/>
    <mergeCell ref="C7:C8"/>
    <mergeCell ref="D7:D8"/>
    <mergeCell ref="E7:F7"/>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workbookViewId="0">
      <selection activeCell="A8" sqref="A8:E8"/>
    </sheetView>
  </sheetViews>
  <sheetFormatPr defaultRowHeight="14.25"/>
  <cols>
    <col min="1" max="1" width="4.28515625" style="580" customWidth="1"/>
    <col min="2" max="2" width="17.28515625" style="580" customWidth="1"/>
    <col min="3" max="3" width="17.42578125" style="580" customWidth="1"/>
    <col min="4" max="4" width="14.7109375" style="580" customWidth="1"/>
    <col min="5" max="5" width="15.5703125" style="700" customWidth="1"/>
    <col min="6" max="6" width="14.85546875" style="700" customWidth="1"/>
    <col min="7" max="16384" width="9.140625" style="580"/>
  </cols>
  <sheetData>
    <row r="1" spans="1:6" ht="53.25" customHeight="1">
      <c r="A1" s="1612" t="s">
        <v>1679</v>
      </c>
      <c r="B1" s="1612"/>
      <c r="C1" s="1612"/>
      <c r="D1" s="1612"/>
      <c r="E1" s="1612"/>
      <c r="F1" s="1612"/>
    </row>
    <row r="3" spans="1:6" ht="15">
      <c r="A3" s="854" t="s">
        <v>782</v>
      </c>
    </row>
    <row r="4" spans="1:6" ht="30">
      <c r="A4" s="825" t="s">
        <v>1</v>
      </c>
      <c r="B4" s="825" t="s">
        <v>338</v>
      </c>
      <c r="C4" s="826" t="s">
        <v>403</v>
      </c>
      <c r="D4" s="825" t="s">
        <v>315</v>
      </c>
      <c r="E4" s="820" t="s">
        <v>166</v>
      </c>
      <c r="F4" s="820" t="s">
        <v>179</v>
      </c>
    </row>
    <row r="5" spans="1:6">
      <c r="A5" s="501">
        <v>1</v>
      </c>
      <c r="B5" s="855" t="s">
        <v>1680</v>
      </c>
      <c r="C5" s="501" t="s">
        <v>1681</v>
      </c>
      <c r="D5" s="501">
        <v>206</v>
      </c>
      <c r="E5" s="838">
        <v>2300</v>
      </c>
      <c r="F5" s="838">
        <f>D5*E5</f>
        <v>473800</v>
      </c>
    </row>
    <row r="6" spans="1:6">
      <c r="A6" s="501">
        <v>2</v>
      </c>
      <c r="B6" s="95" t="s">
        <v>527</v>
      </c>
      <c r="C6" s="501" t="s">
        <v>528</v>
      </c>
      <c r="D6" s="501" t="s">
        <v>1682</v>
      </c>
      <c r="E6" s="838">
        <v>35000</v>
      </c>
      <c r="F6" s="856">
        <f>60*E6</f>
        <v>2100000</v>
      </c>
    </row>
    <row r="7" spans="1:6">
      <c r="A7" s="501">
        <v>3</v>
      </c>
      <c r="B7" s="95" t="s">
        <v>530</v>
      </c>
      <c r="C7" s="501" t="s">
        <v>531</v>
      </c>
      <c r="D7" s="501" t="s">
        <v>1683</v>
      </c>
      <c r="E7" s="838">
        <v>14000</v>
      </c>
      <c r="F7" s="838">
        <f>65*E7</f>
        <v>910000</v>
      </c>
    </row>
    <row r="8" spans="1:6" ht="15">
      <c r="A8" s="1263" t="s">
        <v>174</v>
      </c>
      <c r="B8" s="1263"/>
      <c r="C8" s="1263"/>
      <c r="D8" s="1263"/>
      <c r="E8" s="1263"/>
      <c r="F8" s="820">
        <f>SUM(F5:F7)</f>
        <v>3483800</v>
      </c>
    </row>
    <row r="9" spans="1:6">
      <c r="A9" s="1639" t="s">
        <v>1684</v>
      </c>
      <c r="B9" s="1639"/>
      <c r="C9" s="1639"/>
      <c r="D9" s="1639"/>
      <c r="E9" s="1639"/>
      <c r="F9" s="1639"/>
    </row>
    <row r="10" spans="1:6">
      <c r="A10" s="1639" t="s">
        <v>1685</v>
      </c>
      <c r="B10" s="1639"/>
      <c r="C10" s="1639"/>
      <c r="D10" s="1639"/>
      <c r="E10" s="1639"/>
      <c r="F10" s="1639"/>
    </row>
    <row r="11" spans="1:6" ht="15">
      <c r="A11" s="857"/>
    </row>
    <row r="12" spans="1:6" ht="15">
      <c r="A12" s="854" t="s">
        <v>783</v>
      </c>
    </row>
    <row r="13" spans="1:6" ht="30">
      <c r="A13" s="825" t="s">
        <v>1</v>
      </c>
      <c r="B13" s="825" t="s">
        <v>338</v>
      </c>
      <c r="C13" s="826" t="s">
        <v>403</v>
      </c>
      <c r="D13" s="825" t="s">
        <v>315</v>
      </c>
      <c r="E13" s="820" t="s">
        <v>166</v>
      </c>
      <c r="F13" s="820" t="s">
        <v>179</v>
      </c>
    </row>
    <row r="14" spans="1:6">
      <c r="A14" s="501">
        <v>1</v>
      </c>
      <c r="B14" s="855" t="s">
        <v>1680</v>
      </c>
      <c r="C14" s="501" t="s">
        <v>1681</v>
      </c>
      <c r="D14" s="501">
        <v>744</v>
      </c>
      <c r="E14" s="838">
        <v>2300</v>
      </c>
      <c r="F14" s="838">
        <f>D14*E14</f>
        <v>1711200</v>
      </c>
    </row>
    <row r="15" spans="1:6">
      <c r="A15" s="501">
        <v>2</v>
      </c>
      <c r="B15" s="95" t="s">
        <v>527</v>
      </c>
      <c r="C15" s="501" t="s">
        <v>528</v>
      </c>
      <c r="D15" s="501" t="s">
        <v>1682</v>
      </c>
      <c r="E15" s="838">
        <v>35000</v>
      </c>
      <c r="F15" s="856">
        <f>60*E15</f>
        <v>2100000</v>
      </c>
    </row>
    <row r="16" spans="1:6">
      <c r="A16" s="501">
        <v>3</v>
      </c>
      <c r="B16" s="95" t="s">
        <v>530</v>
      </c>
      <c r="C16" s="501" t="s">
        <v>531</v>
      </c>
      <c r="D16" s="501" t="s">
        <v>1686</v>
      </c>
      <c r="E16" s="838">
        <v>14000</v>
      </c>
      <c r="F16" s="838">
        <f>65*E16</f>
        <v>910000</v>
      </c>
    </row>
    <row r="17" spans="1:6" ht="15">
      <c r="A17" s="1634" t="s">
        <v>174</v>
      </c>
      <c r="B17" s="1635"/>
      <c r="C17" s="1635"/>
      <c r="D17" s="1635"/>
      <c r="E17" s="1636"/>
      <c r="F17" s="820">
        <f>SUM(F14:F16)</f>
        <v>4721200</v>
      </c>
    </row>
    <row r="18" spans="1:6">
      <c r="A18" s="1639" t="s">
        <v>1687</v>
      </c>
      <c r="B18" s="1637"/>
      <c r="C18" s="1637"/>
      <c r="D18" s="1637"/>
      <c r="E18" s="1637"/>
      <c r="F18" s="1637"/>
    </row>
    <row r="19" spans="1:6">
      <c r="A19" s="1639" t="s">
        <v>1685</v>
      </c>
      <c r="B19" s="1639"/>
      <c r="C19" s="1639"/>
      <c r="D19" s="1639"/>
      <c r="E19" s="1639"/>
      <c r="F19" s="1639"/>
    </row>
    <row r="20" spans="1:6">
      <c r="A20" s="1639"/>
      <c r="B20" s="1639"/>
      <c r="C20" s="1639"/>
      <c r="D20" s="1639"/>
      <c r="E20" s="1639"/>
      <c r="F20" s="1639"/>
    </row>
    <row r="21" spans="1:6" ht="15">
      <c r="A21" s="854" t="s">
        <v>784</v>
      </c>
    </row>
    <row r="22" spans="1:6" ht="30">
      <c r="A22" s="825" t="s">
        <v>1</v>
      </c>
      <c r="B22" s="825" t="s">
        <v>338</v>
      </c>
      <c r="C22" s="826" t="s">
        <v>403</v>
      </c>
      <c r="D22" s="825" t="s">
        <v>315</v>
      </c>
      <c r="E22" s="820" t="s">
        <v>166</v>
      </c>
      <c r="F22" s="820" t="s">
        <v>179</v>
      </c>
    </row>
    <row r="23" spans="1:6">
      <c r="A23" s="501">
        <v>1</v>
      </c>
      <c r="B23" s="855" t="s">
        <v>1680</v>
      </c>
      <c r="C23" s="501" t="s">
        <v>1681</v>
      </c>
      <c r="D23" s="501">
        <v>276</v>
      </c>
      <c r="E23" s="838">
        <v>2300</v>
      </c>
      <c r="F23" s="838">
        <f>D23*E23</f>
        <v>634800</v>
      </c>
    </row>
    <row r="24" spans="1:6">
      <c r="A24" s="501">
        <v>2</v>
      </c>
      <c r="B24" s="95" t="s">
        <v>527</v>
      </c>
      <c r="C24" s="501" t="s">
        <v>528</v>
      </c>
      <c r="D24" s="501" t="s">
        <v>1688</v>
      </c>
      <c r="E24" s="838">
        <v>35000</v>
      </c>
      <c r="F24" s="856">
        <f>70*E24</f>
        <v>2450000</v>
      </c>
    </row>
    <row r="25" spans="1:6">
      <c r="A25" s="501">
        <v>3</v>
      </c>
      <c r="B25" s="95" t="s">
        <v>530</v>
      </c>
      <c r="C25" s="501" t="s">
        <v>531</v>
      </c>
      <c r="D25" s="501" t="s">
        <v>1689</v>
      </c>
      <c r="E25" s="838">
        <v>14000</v>
      </c>
      <c r="F25" s="838">
        <f>75*E25</f>
        <v>1050000</v>
      </c>
    </row>
    <row r="26" spans="1:6" ht="15">
      <c r="A26" s="1634" t="s">
        <v>174</v>
      </c>
      <c r="B26" s="1635"/>
      <c r="C26" s="1635"/>
      <c r="D26" s="1635"/>
      <c r="E26" s="1636"/>
      <c r="F26" s="820">
        <f>SUM(F23:F25)</f>
        <v>4134800</v>
      </c>
    </row>
    <row r="27" spans="1:6">
      <c r="A27" s="1639" t="s">
        <v>1690</v>
      </c>
      <c r="B27" s="1637"/>
      <c r="C27" s="1637"/>
      <c r="D27" s="1637"/>
      <c r="E27" s="1637"/>
      <c r="F27" s="1637"/>
    </row>
    <row r="28" spans="1:6">
      <c r="A28" s="1638" t="s">
        <v>1685</v>
      </c>
      <c r="B28" s="1638"/>
      <c r="C28" s="1638"/>
      <c r="D28" s="1638"/>
      <c r="E28" s="1638"/>
      <c r="F28" s="1638"/>
    </row>
    <row r="29" spans="1:6">
      <c r="A29" s="1639"/>
      <c r="B29" s="1639"/>
      <c r="C29" s="1639"/>
      <c r="D29" s="1639"/>
      <c r="E29" s="1639"/>
      <c r="F29" s="1639"/>
    </row>
    <row r="30" spans="1:6" ht="15">
      <c r="A30" s="854" t="s">
        <v>785</v>
      </c>
    </row>
    <row r="31" spans="1:6" ht="30">
      <c r="A31" s="825" t="s">
        <v>1</v>
      </c>
      <c r="B31" s="825" t="s">
        <v>338</v>
      </c>
      <c r="C31" s="826" t="s">
        <v>403</v>
      </c>
      <c r="D31" s="825" t="s">
        <v>315</v>
      </c>
      <c r="E31" s="820" t="s">
        <v>166</v>
      </c>
      <c r="F31" s="820" t="s">
        <v>179</v>
      </c>
    </row>
    <row r="32" spans="1:6">
      <c r="A32" s="501">
        <v>1</v>
      </c>
      <c r="B32" s="855" t="s">
        <v>1680</v>
      </c>
      <c r="C32" s="501" t="s">
        <v>1681</v>
      </c>
      <c r="D32" s="501">
        <v>192.4</v>
      </c>
      <c r="E32" s="838">
        <v>2300</v>
      </c>
      <c r="F32" s="838">
        <f>D32*E32</f>
        <v>442520</v>
      </c>
    </row>
    <row r="33" spans="1:6">
      <c r="A33" s="501">
        <v>2</v>
      </c>
      <c r="B33" s="95" t="s">
        <v>527</v>
      </c>
      <c r="C33" s="501" t="s">
        <v>528</v>
      </c>
      <c r="D33" s="501" t="s">
        <v>1683</v>
      </c>
      <c r="E33" s="838">
        <v>35000</v>
      </c>
      <c r="F33" s="856">
        <f>65*E33</f>
        <v>2275000</v>
      </c>
    </row>
    <row r="34" spans="1:6">
      <c r="A34" s="501">
        <v>3</v>
      </c>
      <c r="B34" s="95" t="s">
        <v>530</v>
      </c>
      <c r="C34" s="501" t="s">
        <v>531</v>
      </c>
      <c r="D34" s="501" t="s">
        <v>1691</v>
      </c>
      <c r="E34" s="838">
        <v>14000</v>
      </c>
      <c r="F34" s="838">
        <f>70*E34</f>
        <v>980000</v>
      </c>
    </row>
    <row r="35" spans="1:6" ht="15">
      <c r="A35" s="1634" t="s">
        <v>174</v>
      </c>
      <c r="B35" s="1635"/>
      <c r="C35" s="1635"/>
      <c r="D35" s="1635"/>
      <c r="E35" s="1636"/>
      <c r="F35" s="820">
        <f>SUM(F32:F34)</f>
        <v>3697520</v>
      </c>
    </row>
    <row r="36" spans="1:6">
      <c r="A36" s="1639" t="s">
        <v>1692</v>
      </c>
      <c r="B36" s="1637"/>
      <c r="C36" s="1637"/>
      <c r="D36" s="1637"/>
      <c r="E36" s="1637"/>
      <c r="F36" s="1637"/>
    </row>
    <row r="37" spans="1:6">
      <c r="A37" s="1638" t="s">
        <v>1685</v>
      </c>
      <c r="B37" s="1638"/>
      <c r="C37" s="1638"/>
      <c r="D37" s="1638"/>
      <c r="E37" s="1638"/>
      <c r="F37" s="1638"/>
    </row>
    <row r="38" spans="1:6" ht="15">
      <c r="A38" s="857"/>
    </row>
    <row r="39" spans="1:6" ht="15">
      <c r="A39" s="854" t="s">
        <v>786</v>
      </c>
    </row>
    <row r="40" spans="1:6" ht="30">
      <c r="A40" s="825" t="s">
        <v>1</v>
      </c>
      <c r="B40" s="825" t="s">
        <v>338</v>
      </c>
      <c r="C40" s="826" t="s">
        <v>403</v>
      </c>
      <c r="D40" s="825" t="s">
        <v>315</v>
      </c>
      <c r="E40" s="820" t="s">
        <v>166</v>
      </c>
      <c r="F40" s="820" t="s">
        <v>179</v>
      </c>
    </row>
    <row r="41" spans="1:6">
      <c r="A41" s="501">
        <v>1</v>
      </c>
      <c r="B41" s="855" t="s">
        <v>1680</v>
      </c>
      <c r="C41" s="501" t="s">
        <v>1681</v>
      </c>
      <c r="D41" s="501">
        <v>102</v>
      </c>
      <c r="E41" s="838">
        <v>2300</v>
      </c>
      <c r="F41" s="838">
        <f>D41*E41</f>
        <v>234600</v>
      </c>
    </row>
    <row r="42" spans="1:6">
      <c r="A42" s="501">
        <v>2</v>
      </c>
      <c r="B42" s="95" t="s">
        <v>527</v>
      </c>
      <c r="C42" s="501" t="s">
        <v>528</v>
      </c>
      <c r="D42" s="501" t="s">
        <v>1693</v>
      </c>
      <c r="E42" s="838">
        <v>35000</v>
      </c>
      <c r="F42" s="856">
        <f>25*E42</f>
        <v>875000</v>
      </c>
    </row>
    <row r="43" spans="1:6">
      <c r="A43" s="501">
        <v>3</v>
      </c>
      <c r="B43" s="95" t="s">
        <v>530</v>
      </c>
      <c r="C43" s="501" t="s">
        <v>531</v>
      </c>
      <c r="D43" s="501" t="s">
        <v>1694</v>
      </c>
      <c r="E43" s="838">
        <v>14000</v>
      </c>
      <c r="F43" s="838">
        <f>30*E43</f>
        <v>420000</v>
      </c>
    </row>
    <row r="44" spans="1:6" ht="15">
      <c r="A44" s="1634" t="s">
        <v>174</v>
      </c>
      <c r="B44" s="1635"/>
      <c r="C44" s="1635"/>
      <c r="D44" s="1635"/>
      <c r="E44" s="1636"/>
      <c r="F44" s="820">
        <f>SUM(F41:F43)</f>
        <v>1529600</v>
      </c>
    </row>
    <row r="45" spans="1:6">
      <c r="A45" s="1637" t="s">
        <v>1695</v>
      </c>
      <c r="B45" s="1637"/>
      <c r="C45" s="1637"/>
      <c r="D45" s="1637"/>
      <c r="E45" s="1637"/>
      <c r="F45" s="1637"/>
    </row>
    <row r="46" spans="1:6">
      <c r="A46" s="1638" t="s">
        <v>1685</v>
      </c>
      <c r="B46" s="1638"/>
      <c r="C46" s="1638"/>
      <c r="D46" s="1638"/>
      <c r="E46" s="1638"/>
      <c r="F46" s="1638"/>
    </row>
    <row r="47" spans="1:6" ht="15">
      <c r="A47" s="857"/>
    </row>
    <row r="48" spans="1:6" ht="15">
      <c r="A48" s="854" t="s">
        <v>787</v>
      </c>
    </row>
    <row r="49" spans="1:6" ht="30">
      <c r="A49" s="825" t="s">
        <v>1</v>
      </c>
      <c r="B49" s="825" t="s">
        <v>338</v>
      </c>
      <c r="C49" s="826" t="s">
        <v>403</v>
      </c>
      <c r="D49" s="825" t="s">
        <v>315</v>
      </c>
      <c r="E49" s="820" t="s">
        <v>166</v>
      </c>
      <c r="F49" s="820" t="s">
        <v>179</v>
      </c>
    </row>
    <row r="50" spans="1:6">
      <c r="A50" s="501">
        <v>1</v>
      </c>
      <c r="B50" s="855" t="s">
        <v>1680</v>
      </c>
      <c r="C50" s="501" t="s">
        <v>1681</v>
      </c>
      <c r="D50" s="501">
        <v>442</v>
      </c>
      <c r="E50" s="838">
        <v>2300</v>
      </c>
      <c r="F50" s="838">
        <f>D50*E50</f>
        <v>1016600</v>
      </c>
    </row>
    <row r="51" spans="1:6">
      <c r="A51" s="501">
        <v>2</v>
      </c>
      <c r="B51" s="95" t="s">
        <v>527</v>
      </c>
      <c r="C51" s="501" t="s">
        <v>528</v>
      </c>
      <c r="D51" s="501" t="s">
        <v>1696</v>
      </c>
      <c r="E51" s="838">
        <v>35000</v>
      </c>
      <c r="F51" s="856">
        <f>80*E51</f>
        <v>2800000</v>
      </c>
    </row>
    <row r="52" spans="1:6">
      <c r="A52" s="501">
        <v>3</v>
      </c>
      <c r="B52" s="95" t="s">
        <v>530</v>
      </c>
      <c r="C52" s="501" t="s">
        <v>531</v>
      </c>
      <c r="D52" s="501" t="s">
        <v>1697</v>
      </c>
      <c r="E52" s="838">
        <v>14000</v>
      </c>
      <c r="F52" s="838">
        <f>85*E52</f>
        <v>1190000</v>
      </c>
    </row>
    <row r="53" spans="1:6" ht="15">
      <c r="A53" s="1634" t="s">
        <v>174</v>
      </c>
      <c r="B53" s="1635"/>
      <c r="C53" s="1635"/>
      <c r="D53" s="1635"/>
      <c r="E53" s="1636"/>
      <c r="F53" s="820">
        <f>SUM(F50:F52)</f>
        <v>5006600</v>
      </c>
    </row>
    <row r="54" spans="1:6">
      <c r="A54" s="1637" t="s">
        <v>1698</v>
      </c>
      <c r="B54" s="1637"/>
      <c r="C54" s="1637"/>
      <c r="D54" s="1637"/>
      <c r="E54" s="1637"/>
      <c r="F54" s="1637"/>
    </row>
    <row r="55" spans="1:6">
      <c r="A55" s="1638" t="s">
        <v>1685</v>
      </c>
      <c r="B55" s="1638"/>
      <c r="C55" s="1638"/>
      <c r="D55" s="1638"/>
      <c r="E55" s="1638"/>
      <c r="F55" s="1638"/>
    </row>
    <row r="56" spans="1:6" ht="15">
      <c r="A56" s="858"/>
    </row>
    <row r="57" spans="1:6" ht="15">
      <c r="A57" s="854" t="s">
        <v>788</v>
      </c>
    </row>
    <row r="58" spans="1:6" ht="30">
      <c r="A58" s="825" t="s">
        <v>1</v>
      </c>
      <c r="B58" s="825" t="s">
        <v>338</v>
      </c>
      <c r="C58" s="826" t="s">
        <v>403</v>
      </c>
      <c r="D58" s="825" t="s">
        <v>315</v>
      </c>
      <c r="E58" s="820" t="s">
        <v>166</v>
      </c>
      <c r="F58" s="820" t="s">
        <v>179</v>
      </c>
    </row>
    <row r="59" spans="1:6">
      <c r="A59" s="501">
        <v>1</v>
      </c>
      <c r="B59" s="855" t="s">
        <v>1680</v>
      </c>
      <c r="C59" s="501" t="s">
        <v>1681</v>
      </c>
      <c r="D59" s="501">
        <v>97.6</v>
      </c>
      <c r="E59" s="838">
        <v>2300</v>
      </c>
      <c r="F59" s="838">
        <f>D59*E59</f>
        <v>224480</v>
      </c>
    </row>
    <row r="60" spans="1:6">
      <c r="A60" s="501">
        <v>2</v>
      </c>
      <c r="B60" s="95" t="s">
        <v>527</v>
      </c>
      <c r="C60" s="501" t="s">
        <v>528</v>
      </c>
      <c r="D60" s="501" t="s">
        <v>1699</v>
      </c>
      <c r="E60" s="838">
        <v>35000</v>
      </c>
      <c r="F60" s="856">
        <f>45*E60</f>
        <v>1575000</v>
      </c>
    </row>
    <row r="61" spans="1:6">
      <c r="A61" s="501">
        <v>3</v>
      </c>
      <c r="B61" s="95" t="s">
        <v>530</v>
      </c>
      <c r="C61" s="501" t="s">
        <v>531</v>
      </c>
      <c r="D61" s="501" t="s">
        <v>1700</v>
      </c>
      <c r="E61" s="838">
        <v>16000</v>
      </c>
      <c r="F61" s="838">
        <f>50*E61</f>
        <v>800000</v>
      </c>
    </row>
    <row r="62" spans="1:6" ht="15">
      <c r="A62" s="1634" t="s">
        <v>174</v>
      </c>
      <c r="B62" s="1635"/>
      <c r="C62" s="1635"/>
      <c r="D62" s="1635"/>
      <c r="E62" s="1636"/>
      <c r="F62" s="820">
        <f>SUM(F59:F61)</f>
        <v>2599480</v>
      </c>
    </row>
    <row r="63" spans="1:6">
      <c r="A63" s="1637" t="s">
        <v>1701</v>
      </c>
      <c r="B63" s="1637"/>
      <c r="C63" s="1637"/>
      <c r="D63" s="1637"/>
      <c r="E63" s="1637"/>
      <c r="F63" s="1637"/>
    </row>
    <row r="64" spans="1:6">
      <c r="A64" s="1638" t="s">
        <v>1685</v>
      </c>
      <c r="B64" s="1638"/>
      <c r="C64" s="1638"/>
      <c r="D64" s="1638"/>
      <c r="E64" s="1638"/>
      <c r="F64" s="1638"/>
    </row>
    <row r="65" spans="1:6" ht="15">
      <c r="A65" s="857"/>
    </row>
    <row r="66" spans="1:6" ht="15">
      <c r="A66" s="854" t="s">
        <v>789</v>
      </c>
    </row>
    <row r="67" spans="1:6" ht="30">
      <c r="A67" s="825" t="s">
        <v>1</v>
      </c>
      <c r="B67" s="825" t="s">
        <v>338</v>
      </c>
      <c r="C67" s="826" t="s">
        <v>403</v>
      </c>
      <c r="D67" s="825" t="s">
        <v>315</v>
      </c>
      <c r="E67" s="820" t="s">
        <v>166</v>
      </c>
      <c r="F67" s="820" t="s">
        <v>179</v>
      </c>
    </row>
    <row r="68" spans="1:6">
      <c r="A68" s="501">
        <v>1</v>
      </c>
      <c r="B68" s="855" t="s">
        <v>1680</v>
      </c>
      <c r="C68" s="501" t="s">
        <v>1681</v>
      </c>
      <c r="D68" s="501">
        <v>282</v>
      </c>
      <c r="E68" s="838">
        <v>2300</v>
      </c>
      <c r="F68" s="838">
        <f>D68*E68</f>
        <v>648600</v>
      </c>
    </row>
    <row r="69" spans="1:6">
      <c r="A69" s="501">
        <v>2</v>
      </c>
      <c r="B69" s="95" t="s">
        <v>527</v>
      </c>
      <c r="C69" s="501" t="s">
        <v>528</v>
      </c>
      <c r="D69" s="501" t="s">
        <v>1682</v>
      </c>
      <c r="E69" s="838">
        <v>35000</v>
      </c>
      <c r="F69" s="856">
        <f>60*E69</f>
        <v>2100000</v>
      </c>
    </row>
    <row r="70" spans="1:6">
      <c r="A70" s="501">
        <v>3</v>
      </c>
      <c r="B70" s="95" t="s">
        <v>530</v>
      </c>
      <c r="C70" s="501" t="s">
        <v>531</v>
      </c>
      <c r="D70" s="501" t="s">
        <v>1702</v>
      </c>
      <c r="E70" s="838">
        <v>14000</v>
      </c>
      <c r="F70" s="838">
        <f>65*E70</f>
        <v>910000</v>
      </c>
    </row>
    <row r="71" spans="1:6" ht="15">
      <c r="A71" s="1634" t="s">
        <v>174</v>
      </c>
      <c r="B71" s="1635"/>
      <c r="C71" s="1635"/>
      <c r="D71" s="1635"/>
      <c r="E71" s="1636"/>
      <c r="F71" s="820">
        <f>SUM(F68:F70)</f>
        <v>3658600</v>
      </c>
    </row>
    <row r="72" spans="1:6">
      <c r="A72" s="1637" t="s">
        <v>1703</v>
      </c>
      <c r="B72" s="1637"/>
      <c r="C72" s="1637"/>
      <c r="D72" s="1637"/>
      <c r="E72" s="1637"/>
      <c r="F72" s="1637"/>
    </row>
    <row r="73" spans="1:6">
      <c r="A73" s="1638" t="s">
        <v>1685</v>
      </c>
      <c r="B73" s="1638"/>
      <c r="C73" s="1638"/>
      <c r="D73" s="1638"/>
      <c r="E73" s="1638"/>
      <c r="F73" s="1638"/>
    </row>
    <row r="74" spans="1:6" ht="15">
      <c r="A74" s="857"/>
    </row>
    <row r="75" spans="1:6" ht="15">
      <c r="A75" s="859" t="s">
        <v>790</v>
      </c>
    </row>
    <row r="76" spans="1:6" ht="30">
      <c r="A76" s="825" t="s">
        <v>1</v>
      </c>
      <c r="B76" s="825" t="s">
        <v>338</v>
      </c>
      <c r="C76" s="826" t="s">
        <v>403</v>
      </c>
      <c r="D76" s="825" t="s">
        <v>315</v>
      </c>
      <c r="E76" s="820" t="s">
        <v>166</v>
      </c>
      <c r="F76" s="820" t="s">
        <v>179</v>
      </c>
    </row>
    <row r="77" spans="1:6">
      <c r="A77" s="501">
        <v>1</v>
      </c>
      <c r="B77" s="855" t="s">
        <v>1680</v>
      </c>
      <c r="C77" s="501" t="s">
        <v>1681</v>
      </c>
      <c r="D77" s="501">
        <v>202.4</v>
      </c>
      <c r="E77" s="838">
        <v>2300</v>
      </c>
      <c r="F77" s="838">
        <f>D77*E77</f>
        <v>465520</v>
      </c>
    </row>
    <row r="78" spans="1:6">
      <c r="A78" s="501">
        <v>2</v>
      </c>
      <c r="B78" s="95" t="s">
        <v>527</v>
      </c>
      <c r="C78" s="501" t="s">
        <v>528</v>
      </c>
      <c r="D78" s="501" t="s">
        <v>1699</v>
      </c>
      <c r="E78" s="838">
        <v>35000</v>
      </c>
      <c r="F78" s="856">
        <f>45*E78</f>
        <v>1575000</v>
      </c>
    </row>
    <row r="79" spans="1:6">
      <c r="A79" s="501">
        <v>3</v>
      </c>
      <c r="B79" s="95" t="s">
        <v>530</v>
      </c>
      <c r="C79" s="501" t="s">
        <v>531</v>
      </c>
      <c r="D79" s="501" t="s">
        <v>1704</v>
      </c>
      <c r="E79" s="838">
        <v>14000</v>
      </c>
      <c r="F79" s="838">
        <f>50*E79</f>
        <v>700000</v>
      </c>
    </row>
    <row r="80" spans="1:6" ht="15">
      <c r="A80" s="1634" t="s">
        <v>174</v>
      </c>
      <c r="B80" s="1635"/>
      <c r="C80" s="1635"/>
      <c r="D80" s="1635"/>
      <c r="E80" s="1636"/>
      <c r="F80" s="820">
        <f>SUM(F77:F79)</f>
        <v>2740520</v>
      </c>
    </row>
    <row r="81" spans="1:6">
      <c r="A81" s="1637" t="s">
        <v>1705</v>
      </c>
      <c r="B81" s="1637"/>
      <c r="C81" s="1637"/>
      <c r="D81" s="1637"/>
      <c r="E81" s="1637"/>
      <c r="F81" s="1637"/>
    </row>
    <row r="82" spans="1:6">
      <c r="A82" s="1638" t="s">
        <v>1685</v>
      </c>
      <c r="B82" s="1638"/>
      <c r="C82" s="1638"/>
      <c r="D82" s="1638"/>
      <c r="E82" s="1638"/>
      <c r="F82" s="1638"/>
    </row>
    <row r="83" spans="1:6" ht="15">
      <c r="A83" s="857"/>
    </row>
    <row r="84" spans="1:6" ht="15">
      <c r="A84" s="859" t="s">
        <v>791</v>
      </c>
    </row>
    <row r="85" spans="1:6" ht="30">
      <c r="A85" s="825" t="s">
        <v>1</v>
      </c>
      <c r="B85" s="825" t="s">
        <v>338</v>
      </c>
      <c r="C85" s="826" t="s">
        <v>403</v>
      </c>
      <c r="D85" s="825" t="s">
        <v>315</v>
      </c>
      <c r="E85" s="820" t="s">
        <v>166</v>
      </c>
      <c r="F85" s="820" t="s">
        <v>179</v>
      </c>
    </row>
    <row r="86" spans="1:6">
      <c r="A86" s="501">
        <v>1</v>
      </c>
      <c r="B86" s="855" t="s">
        <v>1680</v>
      </c>
      <c r="C86" s="501" t="s">
        <v>1681</v>
      </c>
      <c r="D86" s="501">
        <v>114</v>
      </c>
      <c r="E86" s="838">
        <v>2300</v>
      </c>
      <c r="F86" s="838">
        <f>D86*E86</f>
        <v>262200</v>
      </c>
    </row>
    <row r="87" spans="1:6">
      <c r="A87" s="501">
        <v>2</v>
      </c>
      <c r="B87" s="95" t="s">
        <v>527</v>
      </c>
      <c r="C87" s="501" t="s">
        <v>528</v>
      </c>
      <c r="D87" s="501" t="s">
        <v>1706</v>
      </c>
      <c r="E87" s="838">
        <v>35000</v>
      </c>
      <c r="F87" s="856">
        <f>40*E87</f>
        <v>1400000</v>
      </c>
    </row>
    <row r="88" spans="1:6">
      <c r="A88" s="501">
        <v>3</v>
      </c>
      <c r="B88" s="95" t="s">
        <v>530</v>
      </c>
      <c r="C88" s="501" t="s">
        <v>531</v>
      </c>
      <c r="D88" s="501" t="s">
        <v>1699</v>
      </c>
      <c r="E88" s="838">
        <v>14000</v>
      </c>
      <c r="F88" s="838">
        <f>45*E88</f>
        <v>630000</v>
      </c>
    </row>
    <row r="89" spans="1:6" ht="15">
      <c r="A89" s="1634" t="s">
        <v>174</v>
      </c>
      <c r="B89" s="1635"/>
      <c r="C89" s="1635"/>
      <c r="D89" s="1635"/>
      <c r="E89" s="1636"/>
      <c r="F89" s="820">
        <f>SUM(F86:F88)</f>
        <v>2292200</v>
      </c>
    </row>
    <row r="90" spans="1:6">
      <c r="A90" s="1637" t="s">
        <v>1707</v>
      </c>
      <c r="B90" s="1637"/>
      <c r="C90" s="1637"/>
      <c r="D90" s="1637"/>
      <c r="E90" s="1637"/>
      <c r="F90" s="1637"/>
    </row>
    <row r="91" spans="1:6">
      <c r="A91" s="1638" t="s">
        <v>1685</v>
      </c>
      <c r="B91" s="1638"/>
      <c r="C91" s="1638"/>
      <c r="D91" s="1638"/>
      <c r="E91" s="1638"/>
      <c r="F91" s="1638"/>
    </row>
    <row r="92" spans="1:6" ht="15">
      <c r="A92" s="857"/>
    </row>
    <row r="93" spans="1:6" ht="15">
      <c r="A93" s="854" t="s">
        <v>792</v>
      </c>
    </row>
    <row r="94" spans="1:6" ht="30">
      <c r="A94" s="825" t="s">
        <v>1</v>
      </c>
      <c r="B94" s="825" t="s">
        <v>338</v>
      </c>
      <c r="C94" s="826" t="s">
        <v>403</v>
      </c>
      <c r="D94" s="825" t="s">
        <v>315</v>
      </c>
      <c r="E94" s="820" t="s">
        <v>166</v>
      </c>
      <c r="F94" s="820" t="s">
        <v>179</v>
      </c>
    </row>
    <row r="95" spans="1:6">
      <c r="A95" s="501">
        <v>1</v>
      </c>
      <c r="B95" s="855" t="s">
        <v>1680</v>
      </c>
      <c r="C95" s="501" t="s">
        <v>1681</v>
      </c>
      <c r="D95" s="501">
        <v>441.6</v>
      </c>
      <c r="E95" s="838">
        <v>2300</v>
      </c>
      <c r="F95" s="838">
        <f>D95*E95</f>
        <v>1015680</v>
      </c>
    </row>
    <row r="96" spans="1:6">
      <c r="A96" s="501">
        <v>2</v>
      </c>
      <c r="B96" s="95" t="s">
        <v>527</v>
      </c>
      <c r="C96" s="501" t="s">
        <v>528</v>
      </c>
      <c r="D96" s="501" t="s">
        <v>1706</v>
      </c>
      <c r="E96" s="838">
        <v>35000</v>
      </c>
      <c r="F96" s="856">
        <f>40*E96</f>
        <v>1400000</v>
      </c>
    </row>
    <row r="97" spans="1:6">
      <c r="A97" s="501">
        <v>3</v>
      </c>
      <c r="B97" s="95" t="s">
        <v>530</v>
      </c>
      <c r="C97" s="501" t="s">
        <v>531</v>
      </c>
      <c r="D97" s="501" t="s">
        <v>1708</v>
      </c>
      <c r="E97" s="838">
        <v>14000</v>
      </c>
      <c r="F97" s="838">
        <f>45*E97</f>
        <v>630000</v>
      </c>
    </row>
    <row r="98" spans="1:6" ht="15">
      <c r="A98" s="1634" t="s">
        <v>174</v>
      </c>
      <c r="B98" s="1635"/>
      <c r="C98" s="1635"/>
      <c r="D98" s="1635"/>
      <c r="E98" s="1636"/>
      <c r="F98" s="820">
        <f>SUM(F95:F97)</f>
        <v>3045680</v>
      </c>
    </row>
    <row r="99" spans="1:6">
      <c r="A99" s="1637" t="s">
        <v>1709</v>
      </c>
      <c r="B99" s="1637"/>
      <c r="C99" s="1637"/>
      <c r="D99" s="1637"/>
      <c r="E99" s="1637"/>
      <c r="F99" s="1637"/>
    </row>
    <row r="100" spans="1:6">
      <c r="A100" s="1638" t="s">
        <v>1685</v>
      </c>
      <c r="B100" s="1638"/>
      <c r="C100" s="1638"/>
      <c r="D100" s="1638"/>
      <c r="E100" s="1638"/>
      <c r="F100" s="1638"/>
    </row>
    <row r="101" spans="1:6" ht="15">
      <c r="A101" s="857"/>
    </row>
    <row r="102" spans="1:6" ht="15">
      <c r="A102" s="854" t="s">
        <v>793</v>
      </c>
    </row>
    <row r="103" spans="1:6" ht="30">
      <c r="A103" s="825" t="s">
        <v>1</v>
      </c>
      <c r="B103" s="825" t="s">
        <v>338</v>
      </c>
      <c r="C103" s="826" t="s">
        <v>403</v>
      </c>
      <c r="D103" s="825" t="s">
        <v>315</v>
      </c>
      <c r="E103" s="820" t="s">
        <v>166</v>
      </c>
      <c r="F103" s="820" t="s">
        <v>179</v>
      </c>
    </row>
    <row r="104" spans="1:6">
      <c r="A104" s="501">
        <v>1</v>
      </c>
      <c r="B104" s="855" t="s">
        <v>1680</v>
      </c>
      <c r="C104" s="501" t="s">
        <v>1681</v>
      </c>
      <c r="D104" s="501">
        <v>168.4</v>
      </c>
      <c r="E104" s="838">
        <v>2300</v>
      </c>
      <c r="F104" s="838">
        <f>D104*E104</f>
        <v>387320</v>
      </c>
    </row>
    <row r="105" spans="1:6">
      <c r="A105" s="501">
        <v>2</v>
      </c>
      <c r="B105" s="95" t="s">
        <v>527</v>
      </c>
      <c r="C105" s="501" t="s">
        <v>528</v>
      </c>
      <c r="D105" s="501" t="s">
        <v>1693</v>
      </c>
      <c r="E105" s="838">
        <v>35000</v>
      </c>
      <c r="F105" s="856">
        <f>25*E105</f>
        <v>875000</v>
      </c>
    </row>
    <row r="106" spans="1:6">
      <c r="A106" s="501">
        <v>3</v>
      </c>
      <c r="B106" s="95" t="s">
        <v>530</v>
      </c>
      <c r="C106" s="501" t="s">
        <v>531</v>
      </c>
      <c r="D106" s="501" t="s">
        <v>1694</v>
      </c>
      <c r="E106" s="838">
        <v>16000</v>
      </c>
      <c r="F106" s="838">
        <f>30*E106</f>
        <v>480000</v>
      </c>
    </row>
    <row r="107" spans="1:6" ht="15">
      <c r="A107" s="1634" t="s">
        <v>174</v>
      </c>
      <c r="B107" s="1635"/>
      <c r="C107" s="1635"/>
      <c r="D107" s="1635"/>
      <c r="E107" s="1636"/>
      <c r="F107" s="820">
        <f>SUM(F104:F106)</f>
        <v>1742320</v>
      </c>
    </row>
    <row r="108" spans="1:6">
      <c r="A108" s="1637" t="s">
        <v>1710</v>
      </c>
      <c r="B108" s="1637"/>
      <c r="C108" s="1637"/>
      <c r="D108" s="1637"/>
      <c r="E108" s="1637"/>
      <c r="F108" s="1637"/>
    </row>
    <row r="109" spans="1:6">
      <c r="A109" s="1638" t="s">
        <v>1685</v>
      </c>
      <c r="B109" s="1638"/>
      <c r="C109" s="1638"/>
      <c r="D109" s="1638"/>
      <c r="E109" s="1638"/>
      <c r="F109" s="1638"/>
    </row>
    <row r="110" spans="1:6" ht="15">
      <c r="A110" s="857"/>
    </row>
    <row r="111" spans="1:6" ht="15">
      <c r="A111" s="854" t="s">
        <v>794</v>
      </c>
    </row>
    <row r="112" spans="1:6" ht="30">
      <c r="A112" s="825" t="s">
        <v>1</v>
      </c>
      <c r="B112" s="825" t="s">
        <v>338</v>
      </c>
      <c r="C112" s="826" t="s">
        <v>403</v>
      </c>
      <c r="D112" s="825" t="s">
        <v>315</v>
      </c>
      <c r="E112" s="820" t="s">
        <v>166</v>
      </c>
      <c r="F112" s="820" t="s">
        <v>179</v>
      </c>
    </row>
    <row r="113" spans="1:6">
      <c r="A113" s="501">
        <v>1</v>
      </c>
      <c r="B113" s="855" t="s">
        <v>1680</v>
      </c>
      <c r="C113" s="501" t="s">
        <v>1681</v>
      </c>
      <c r="D113" s="501">
        <v>192</v>
      </c>
      <c r="E113" s="838">
        <v>2300</v>
      </c>
      <c r="F113" s="838">
        <f>D113*E113</f>
        <v>441600</v>
      </c>
    </row>
    <row r="114" spans="1:6">
      <c r="A114" s="501">
        <v>2</v>
      </c>
      <c r="B114" s="95" t="s">
        <v>527</v>
      </c>
      <c r="C114" s="501" t="s">
        <v>528</v>
      </c>
      <c r="D114" s="501" t="s">
        <v>1711</v>
      </c>
      <c r="E114" s="838">
        <v>35000</v>
      </c>
      <c r="F114" s="856">
        <f>105*E114</f>
        <v>3675000</v>
      </c>
    </row>
    <row r="115" spans="1:6">
      <c r="A115" s="501">
        <v>3</v>
      </c>
      <c r="B115" s="95" t="s">
        <v>530</v>
      </c>
      <c r="C115" s="501" t="s">
        <v>531</v>
      </c>
      <c r="D115" s="501" t="s">
        <v>1712</v>
      </c>
      <c r="E115" s="838">
        <v>14000</v>
      </c>
      <c r="F115" s="838">
        <f>110*E115</f>
        <v>1540000</v>
      </c>
    </row>
    <row r="116" spans="1:6" ht="15">
      <c r="A116" s="1634" t="s">
        <v>174</v>
      </c>
      <c r="B116" s="1635"/>
      <c r="C116" s="1635"/>
      <c r="D116" s="1635"/>
      <c r="E116" s="1636"/>
      <c r="F116" s="820">
        <f>SUM(F113:F115)</f>
        <v>5656600</v>
      </c>
    </row>
    <row r="117" spans="1:6">
      <c r="A117" s="1637" t="s">
        <v>1713</v>
      </c>
      <c r="B117" s="1637"/>
      <c r="C117" s="1637"/>
      <c r="D117" s="1637"/>
      <c r="E117" s="1637"/>
      <c r="F117" s="1637"/>
    </row>
    <row r="118" spans="1:6">
      <c r="A118" s="1638" t="s">
        <v>1685</v>
      </c>
      <c r="B118" s="1638"/>
      <c r="C118" s="1638"/>
      <c r="D118" s="1638"/>
      <c r="E118" s="1638"/>
      <c r="F118" s="1638"/>
    </row>
    <row r="119" spans="1:6" ht="15">
      <c r="A119" s="857"/>
    </row>
    <row r="120" spans="1:6" ht="15">
      <c r="A120" s="854" t="s">
        <v>795</v>
      </c>
    </row>
    <row r="121" spans="1:6" ht="30">
      <c r="A121" s="825" t="s">
        <v>1</v>
      </c>
      <c r="B121" s="825" t="s">
        <v>338</v>
      </c>
      <c r="C121" s="826" t="s">
        <v>403</v>
      </c>
      <c r="D121" s="825" t="s">
        <v>315</v>
      </c>
      <c r="E121" s="820" t="s">
        <v>166</v>
      </c>
      <c r="F121" s="820" t="s">
        <v>179</v>
      </c>
    </row>
    <row r="122" spans="1:6">
      <c r="A122" s="501">
        <v>1</v>
      </c>
      <c r="B122" s="855" t="s">
        <v>1680</v>
      </c>
      <c r="C122" s="501" t="s">
        <v>1681</v>
      </c>
      <c r="D122" s="501">
        <v>241.2</v>
      </c>
      <c r="E122" s="838">
        <v>2300</v>
      </c>
      <c r="F122" s="838">
        <f>D122*E122</f>
        <v>554760</v>
      </c>
    </row>
    <row r="123" spans="1:6">
      <c r="A123" s="501">
        <v>2</v>
      </c>
      <c r="B123" s="95" t="s">
        <v>527</v>
      </c>
      <c r="C123" s="501" t="s">
        <v>528</v>
      </c>
      <c r="D123" s="501" t="s">
        <v>1714</v>
      </c>
      <c r="E123" s="838">
        <v>35000</v>
      </c>
      <c r="F123" s="856">
        <f>55*E123</f>
        <v>1925000</v>
      </c>
    </row>
    <row r="124" spans="1:6">
      <c r="A124" s="501">
        <v>3</v>
      </c>
      <c r="B124" s="95" t="s">
        <v>530</v>
      </c>
      <c r="C124" s="501" t="s">
        <v>531</v>
      </c>
      <c r="D124" s="501" t="s">
        <v>1715</v>
      </c>
      <c r="E124" s="838">
        <v>14000</v>
      </c>
      <c r="F124" s="838">
        <f>60*E124</f>
        <v>840000</v>
      </c>
    </row>
    <row r="125" spans="1:6" ht="15">
      <c r="A125" s="1634" t="s">
        <v>174</v>
      </c>
      <c r="B125" s="1635"/>
      <c r="C125" s="1635"/>
      <c r="D125" s="1635"/>
      <c r="E125" s="1636"/>
      <c r="F125" s="820">
        <f>SUM(F122:F124)</f>
        <v>3319760</v>
      </c>
    </row>
    <row r="126" spans="1:6">
      <c r="A126" s="1637" t="s">
        <v>1716</v>
      </c>
      <c r="B126" s="1637"/>
      <c r="C126" s="1637"/>
      <c r="D126" s="1637"/>
      <c r="E126" s="1637"/>
      <c r="F126" s="1637"/>
    </row>
    <row r="127" spans="1:6">
      <c r="A127" s="1638" t="s">
        <v>1685</v>
      </c>
      <c r="B127" s="1638"/>
      <c r="C127" s="1638"/>
      <c r="D127" s="1638"/>
      <c r="E127" s="1638"/>
      <c r="F127" s="1638"/>
    </row>
    <row r="128" spans="1:6" ht="15">
      <c r="A128" s="857"/>
    </row>
    <row r="129" spans="1:6" ht="15">
      <c r="A129" s="859" t="s">
        <v>796</v>
      </c>
    </row>
    <row r="130" spans="1:6" ht="30">
      <c r="A130" s="825" t="s">
        <v>1</v>
      </c>
      <c r="B130" s="825" t="s">
        <v>338</v>
      </c>
      <c r="C130" s="826" t="s">
        <v>403</v>
      </c>
      <c r="D130" s="825" t="s">
        <v>315</v>
      </c>
      <c r="E130" s="820" t="s">
        <v>166</v>
      </c>
      <c r="F130" s="820" t="s">
        <v>179</v>
      </c>
    </row>
    <row r="131" spans="1:6">
      <c r="A131" s="501">
        <v>1</v>
      </c>
      <c r="B131" s="855" t="s">
        <v>1680</v>
      </c>
      <c r="C131" s="501" t="s">
        <v>1681</v>
      </c>
      <c r="D131" s="501">
        <v>144</v>
      </c>
      <c r="E131" s="838">
        <v>2300</v>
      </c>
      <c r="F131" s="838">
        <f>D131*E131</f>
        <v>331200</v>
      </c>
    </row>
    <row r="132" spans="1:6">
      <c r="A132" s="501">
        <v>2</v>
      </c>
      <c r="B132" s="95" t="s">
        <v>527</v>
      </c>
      <c r="C132" s="501" t="s">
        <v>528</v>
      </c>
      <c r="D132" s="501" t="s">
        <v>1714</v>
      </c>
      <c r="E132" s="838">
        <v>35000</v>
      </c>
      <c r="F132" s="856">
        <f>55*3000</f>
        <v>165000</v>
      </c>
    </row>
    <row r="133" spans="1:6">
      <c r="A133" s="501">
        <v>3</v>
      </c>
      <c r="B133" s="95" t="s">
        <v>530</v>
      </c>
      <c r="C133" s="501" t="s">
        <v>531</v>
      </c>
      <c r="D133" s="501" t="s">
        <v>1682</v>
      </c>
      <c r="E133" s="838">
        <v>14000</v>
      </c>
      <c r="F133" s="838">
        <f>60*E133</f>
        <v>840000</v>
      </c>
    </row>
    <row r="134" spans="1:6" ht="15">
      <c r="A134" s="1634" t="s">
        <v>174</v>
      </c>
      <c r="B134" s="1635"/>
      <c r="C134" s="1635"/>
      <c r="D134" s="1635"/>
      <c r="E134" s="1636"/>
      <c r="F134" s="820">
        <f>SUM(F131:F133)</f>
        <v>1336200</v>
      </c>
    </row>
    <row r="135" spans="1:6">
      <c r="A135" s="1637" t="s">
        <v>1717</v>
      </c>
      <c r="B135" s="1637"/>
      <c r="C135" s="1637"/>
      <c r="D135" s="1637"/>
      <c r="E135" s="1637"/>
      <c r="F135" s="1637"/>
    </row>
    <row r="136" spans="1:6">
      <c r="A136" s="1638" t="s">
        <v>1685</v>
      </c>
      <c r="B136" s="1638"/>
      <c r="C136" s="1638"/>
      <c r="D136" s="1638"/>
      <c r="E136" s="1638"/>
      <c r="F136" s="1638"/>
    </row>
    <row r="137" spans="1:6" ht="15">
      <c r="A137" s="857"/>
    </row>
    <row r="138" spans="1:6" ht="15">
      <c r="A138" s="854" t="s">
        <v>797</v>
      </c>
    </row>
    <row r="139" spans="1:6" ht="30">
      <c r="A139" s="825" t="s">
        <v>1</v>
      </c>
      <c r="B139" s="825" t="s">
        <v>338</v>
      </c>
      <c r="C139" s="826" t="s">
        <v>403</v>
      </c>
      <c r="D139" s="825" t="s">
        <v>315</v>
      </c>
      <c r="E139" s="820" t="s">
        <v>166</v>
      </c>
      <c r="F139" s="820" t="s">
        <v>179</v>
      </c>
    </row>
    <row r="140" spans="1:6">
      <c r="A140" s="501">
        <v>1</v>
      </c>
      <c r="B140" s="855" t="s">
        <v>1680</v>
      </c>
      <c r="C140" s="501" t="s">
        <v>1681</v>
      </c>
      <c r="D140" s="501">
        <v>244</v>
      </c>
      <c r="E140" s="838">
        <v>2300</v>
      </c>
      <c r="F140" s="838">
        <f>D140*E140</f>
        <v>561200</v>
      </c>
    </row>
    <row r="141" spans="1:6">
      <c r="A141" s="501">
        <v>2</v>
      </c>
      <c r="B141" s="95" t="s">
        <v>527</v>
      </c>
      <c r="C141" s="501" t="s">
        <v>528</v>
      </c>
      <c r="D141" s="501" t="s">
        <v>1706</v>
      </c>
      <c r="E141" s="838">
        <v>35000</v>
      </c>
      <c r="F141" s="856">
        <f>40*3000</f>
        <v>120000</v>
      </c>
    </row>
    <row r="142" spans="1:6">
      <c r="A142" s="501">
        <v>3</v>
      </c>
      <c r="B142" s="95" t="s">
        <v>530</v>
      </c>
      <c r="C142" s="501" t="s">
        <v>531</v>
      </c>
      <c r="D142" s="501" t="s">
        <v>1708</v>
      </c>
      <c r="E142" s="838">
        <v>14000</v>
      </c>
      <c r="F142" s="838">
        <f>45*E142</f>
        <v>630000</v>
      </c>
    </row>
    <row r="143" spans="1:6" ht="15">
      <c r="A143" s="1634" t="s">
        <v>174</v>
      </c>
      <c r="B143" s="1635"/>
      <c r="C143" s="1635"/>
      <c r="D143" s="1635"/>
      <c r="E143" s="1636"/>
      <c r="F143" s="820">
        <f>SUM(F140:F142)</f>
        <v>1311200</v>
      </c>
    </row>
    <row r="144" spans="1:6">
      <c r="A144" s="1637" t="s">
        <v>1718</v>
      </c>
      <c r="B144" s="1637"/>
      <c r="C144" s="1637"/>
      <c r="D144" s="1637"/>
      <c r="E144" s="1637"/>
      <c r="F144" s="1637"/>
    </row>
    <row r="145" spans="1:6">
      <c r="A145" s="1638" t="s">
        <v>1685</v>
      </c>
      <c r="B145" s="1638"/>
      <c r="C145" s="1638"/>
      <c r="D145" s="1638"/>
      <c r="E145" s="1638"/>
      <c r="F145" s="1638"/>
    </row>
    <row r="146" spans="1:6" ht="15">
      <c r="A146" s="857"/>
    </row>
    <row r="147" spans="1:6" ht="15">
      <c r="A147" s="854" t="s">
        <v>798</v>
      </c>
    </row>
    <row r="148" spans="1:6" ht="15" customHeight="1">
      <c r="A148" s="825" t="s">
        <v>1</v>
      </c>
      <c r="B148" s="825" t="s">
        <v>338</v>
      </c>
      <c r="C148" s="826" t="s">
        <v>403</v>
      </c>
      <c r="D148" s="825" t="s">
        <v>315</v>
      </c>
      <c r="E148" s="820" t="s">
        <v>166</v>
      </c>
      <c r="F148" s="820" t="s">
        <v>179</v>
      </c>
    </row>
    <row r="149" spans="1:6">
      <c r="A149" s="501">
        <v>1</v>
      </c>
      <c r="B149" s="855" t="s">
        <v>1680</v>
      </c>
      <c r="C149" s="501" t="s">
        <v>1681</v>
      </c>
      <c r="D149" s="501">
        <v>24</v>
      </c>
      <c r="E149" s="838">
        <v>2300</v>
      </c>
      <c r="F149" s="838">
        <f>D149*E149</f>
        <v>55200</v>
      </c>
    </row>
    <row r="150" spans="1:6">
      <c r="A150" s="501">
        <v>2</v>
      </c>
      <c r="B150" s="95" t="s">
        <v>527</v>
      </c>
      <c r="C150" s="501" t="s">
        <v>528</v>
      </c>
      <c r="D150" s="501" t="s">
        <v>1719</v>
      </c>
      <c r="E150" s="838">
        <v>35000</v>
      </c>
      <c r="F150" s="856">
        <f>30*3000</f>
        <v>90000</v>
      </c>
    </row>
    <row r="151" spans="1:6">
      <c r="A151" s="501">
        <v>3</v>
      </c>
      <c r="B151" s="95" t="s">
        <v>530</v>
      </c>
      <c r="C151" s="501" t="s">
        <v>531</v>
      </c>
      <c r="D151" s="501" t="s">
        <v>1720</v>
      </c>
      <c r="E151" s="838">
        <v>14000</v>
      </c>
      <c r="F151" s="838">
        <f>35*E151</f>
        <v>490000</v>
      </c>
    </row>
    <row r="152" spans="1:6" ht="15">
      <c r="A152" s="1634" t="s">
        <v>174</v>
      </c>
      <c r="B152" s="1635"/>
      <c r="C152" s="1635"/>
      <c r="D152" s="1635"/>
      <c r="E152" s="1636"/>
      <c r="F152" s="820">
        <f>SUM(F149:F151)</f>
        <v>635200</v>
      </c>
    </row>
    <row r="153" spans="1:6" ht="15" customHeight="1">
      <c r="A153" s="1637" t="s">
        <v>1721</v>
      </c>
      <c r="B153" s="1637"/>
      <c r="C153" s="1637"/>
      <c r="D153" s="1637"/>
      <c r="E153" s="1637"/>
      <c r="F153" s="1637"/>
    </row>
    <row r="154" spans="1:6">
      <c r="A154" s="1638" t="s">
        <v>1685</v>
      </c>
      <c r="B154" s="1638"/>
      <c r="C154" s="1638"/>
      <c r="D154" s="1638"/>
      <c r="E154" s="1638"/>
      <c r="F154" s="1638"/>
    </row>
    <row r="155" spans="1:6" ht="15">
      <c r="A155" s="857"/>
    </row>
    <row r="156" spans="1:6" ht="15" customHeight="1">
      <c r="A156" s="854" t="s">
        <v>799</v>
      </c>
    </row>
    <row r="157" spans="1:6" ht="30">
      <c r="A157" s="825" t="s">
        <v>1</v>
      </c>
      <c r="B157" s="825" t="s">
        <v>338</v>
      </c>
      <c r="C157" s="826" t="s">
        <v>403</v>
      </c>
      <c r="D157" s="825" t="s">
        <v>315</v>
      </c>
      <c r="E157" s="820" t="s">
        <v>166</v>
      </c>
      <c r="F157" s="820" t="s">
        <v>179</v>
      </c>
    </row>
    <row r="158" spans="1:6">
      <c r="A158" s="501">
        <v>1</v>
      </c>
      <c r="B158" s="855" t="s">
        <v>1680</v>
      </c>
      <c r="C158" s="501" t="s">
        <v>1681</v>
      </c>
      <c r="D158" s="501">
        <v>574.4</v>
      </c>
      <c r="E158" s="838">
        <v>2300</v>
      </c>
      <c r="F158" s="838">
        <f>D158*E158</f>
        <v>1321120</v>
      </c>
    </row>
    <row r="159" spans="1:6">
      <c r="A159" s="501">
        <v>2</v>
      </c>
      <c r="B159" s="95" t="s">
        <v>527</v>
      </c>
      <c r="C159" s="501" t="s">
        <v>528</v>
      </c>
      <c r="D159" s="501" t="s">
        <v>1714</v>
      </c>
      <c r="E159" s="838">
        <v>35000</v>
      </c>
      <c r="F159" s="856">
        <f>55*E159</f>
        <v>1925000</v>
      </c>
    </row>
    <row r="160" spans="1:6">
      <c r="A160" s="501">
        <v>3</v>
      </c>
      <c r="B160" s="95" t="s">
        <v>530</v>
      </c>
      <c r="C160" s="501" t="s">
        <v>531</v>
      </c>
      <c r="D160" s="501" t="s">
        <v>1715</v>
      </c>
      <c r="E160" s="838">
        <v>14000</v>
      </c>
      <c r="F160" s="838">
        <f>60*E160</f>
        <v>840000</v>
      </c>
    </row>
    <row r="161" spans="1:6" ht="15" customHeight="1">
      <c r="A161" s="1634" t="s">
        <v>174</v>
      </c>
      <c r="B161" s="1635"/>
      <c r="C161" s="1635"/>
      <c r="D161" s="1635"/>
      <c r="E161" s="1636"/>
      <c r="F161" s="820">
        <f>SUM(F158:F160)</f>
        <v>4086120</v>
      </c>
    </row>
    <row r="162" spans="1:6">
      <c r="A162" s="1637" t="s">
        <v>1722</v>
      </c>
      <c r="B162" s="1637"/>
      <c r="C162" s="1637"/>
      <c r="D162" s="1637"/>
      <c r="E162" s="1637"/>
      <c r="F162" s="1637"/>
    </row>
    <row r="163" spans="1:6">
      <c r="A163" s="1638" t="s">
        <v>1685</v>
      </c>
      <c r="B163" s="1638"/>
      <c r="C163" s="1638"/>
      <c r="D163" s="1638"/>
      <c r="E163" s="1638"/>
      <c r="F163" s="1638"/>
    </row>
    <row r="164" spans="1:6" ht="15">
      <c r="A164" s="857"/>
    </row>
    <row r="165" spans="1:6" ht="15">
      <c r="A165" s="854" t="s">
        <v>800</v>
      </c>
    </row>
    <row r="166" spans="1:6" ht="30">
      <c r="A166" s="825" t="s">
        <v>1</v>
      </c>
      <c r="B166" s="825" t="s">
        <v>338</v>
      </c>
      <c r="C166" s="826" t="s">
        <v>403</v>
      </c>
      <c r="D166" s="825" t="s">
        <v>315</v>
      </c>
      <c r="E166" s="820" t="s">
        <v>166</v>
      </c>
      <c r="F166" s="820" t="s">
        <v>179</v>
      </c>
    </row>
    <row r="167" spans="1:6">
      <c r="A167" s="501">
        <v>1</v>
      </c>
      <c r="B167" s="855" t="s">
        <v>1680</v>
      </c>
      <c r="C167" s="501" t="s">
        <v>1681</v>
      </c>
      <c r="D167" s="501">
        <v>672</v>
      </c>
      <c r="E167" s="838">
        <v>2300</v>
      </c>
      <c r="F167" s="838">
        <f>D167*E167</f>
        <v>1545600</v>
      </c>
    </row>
    <row r="168" spans="1:6">
      <c r="A168" s="501">
        <v>2</v>
      </c>
      <c r="B168" s="95" t="s">
        <v>527</v>
      </c>
      <c r="C168" s="501" t="s">
        <v>528</v>
      </c>
      <c r="D168" s="501" t="s">
        <v>1693</v>
      </c>
      <c r="E168" s="838">
        <v>35000</v>
      </c>
      <c r="F168" s="856">
        <f>25*E168</f>
        <v>875000</v>
      </c>
    </row>
    <row r="169" spans="1:6">
      <c r="A169" s="501">
        <v>3</v>
      </c>
      <c r="B169" s="95" t="s">
        <v>530</v>
      </c>
      <c r="C169" s="501" t="s">
        <v>531</v>
      </c>
      <c r="D169" s="501" t="s">
        <v>1719</v>
      </c>
      <c r="E169" s="838">
        <v>14000</v>
      </c>
      <c r="F169" s="838">
        <f>30*E169</f>
        <v>420000</v>
      </c>
    </row>
    <row r="170" spans="1:6" ht="15">
      <c r="A170" s="1634" t="s">
        <v>174</v>
      </c>
      <c r="B170" s="1635"/>
      <c r="C170" s="1635"/>
      <c r="D170" s="1635"/>
      <c r="E170" s="1636"/>
      <c r="F170" s="820">
        <f>SUM(F167:F169)</f>
        <v>2840600</v>
      </c>
    </row>
    <row r="171" spans="1:6">
      <c r="A171" s="1639" t="s">
        <v>1723</v>
      </c>
      <c r="B171" s="1637"/>
      <c r="C171" s="1637"/>
      <c r="D171" s="1637"/>
      <c r="E171" s="1637"/>
      <c r="F171" s="1637"/>
    </row>
    <row r="172" spans="1:6">
      <c r="A172" s="1638" t="s">
        <v>1685</v>
      </c>
      <c r="B172" s="1638"/>
      <c r="C172" s="1638"/>
      <c r="D172" s="1638"/>
      <c r="E172" s="1638"/>
      <c r="F172" s="1638"/>
    </row>
    <row r="173" spans="1:6" ht="15">
      <c r="A173" s="857"/>
    </row>
    <row r="174" spans="1:6" ht="15">
      <c r="A174" s="854" t="s">
        <v>801</v>
      </c>
    </row>
    <row r="175" spans="1:6" ht="30">
      <c r="A175" s="825" t="s">
        <v>1</v>
      </c>
      <c r="B175" s="825" t="s">
        <v>338</v>
      </c>
      <c r="C175" s="826" t="s">
        <v>403</v>
      </c>
      <c r="D175" s="825" t="s">
        <v>315</v>
      </c>
      <c r="E175" s="820" t="s">
        <v>166</v>
      </c>
      <c r="F175" s="820" t="s">
        <v>179</v>
      </c>
    </row>
    <row r="176" spans="1:6">
      <c r="A176" s="501">
        <v>1</v>
      </c>
      <c r="B176" s="855" t="s">
        <v>1680</v>
      </c>
      <c r="C176" s="501" t="s">
        <v>1681</v>
      </c>
      <c r="D176" s="501">
        <v>288.39999999999998</v>
      </c>
      <c r="E176" s="838">
        <v>2300</v>
      </c>
      <c r="F176" s="838">
        <f>D176*E176</f>
        <v>663320</v>
      </c>
    </row>
    <row r="177" spans="1:6">
      <c r="A177" s="501">
        <v>2</v>
      </c>
      <c r="B177" s="95" t="s">
        <v>527</v>
      </c>
      <c r="C177" s="501" t="s">
        <v>528</v>
      </c>
      <c r="D177" s="501" t="s">
        <v>1683</v>
      </c>
      <c r="E177" s="838">
        <v>35000</v>
      </c>
      <c r="F177" s="856">
        <f>65*E177</f>
        <v>2275000</v>
      </c>
    </row>
    <row r="178" spans="1:6">
      <c r="A178" s="501">
        <v>3</v>
      </c>
      <c r="B178" s="95" t="s">
        <v>530</v>
      </c>
      <c r="C178" s="501" t="s">
        <v>531</v>
      </c>
      <c r="D178" s="501" t="s">
        <v>1688</v>
      </c>
      <c r="E178" s="838">
        <v>14000</v>
      </c>
      <c r="F178" s="838">
        <f>70*E178</f>
        <v>980000</v>
      </c>
    </row>
    <row r="179" spans="1:6" ht="15">
      <c r="A179" s="1634" t="s">
        <v>174</v>
      </c>
      <c r="B179" s="1635"/>
      <c r="C179" s="1635"/>
      <c r="D179" s="1635"/>
      <c r="E179" s="1636"/>
      <c r="F179" s="820">
        <f>SUM(F176:F178)</f>
        <v>3918320</v>
      </c>
    </row>
    <row r="180" spans="1:6">
      <c r="A180" s="1639" t="s">
        <v>1724</v>
      </c>
      <c r="B180" s="1637"/>
      <c r="C180" s="1637"/>
      <c r="D180" s="1637"/>
      <c r="E180" s="1637"/>
      <c r="F180" s="1637"/>
    </row>
    <row r="181" spans="1:6">
      <c r="A181" s="1638" t="s">
        <v>1685</v>
      </c>
      <c r="B181" s="1638"/>
      <c r="C181" s="1638"/>
      <c r="D181" s="1638"/>
      <c r="E181" s="1638"/>
      <c r="F181" s="1638"/>
    </row>
    <row r="182" spans="1:6">
      <c r="A182" s="230"/>
    </row>
    <row r="183" spans="1:6" ht="15">
      <c r="A183" s="854" t="s">
        <v>802</v>
      </c>
    </row>
    <row r="184" spans="1:6" ht="30">
      <c r="A184" s="825" t="s">
        <v>1</v>
      </c>
      <c r="B184" s="825" t="s">
        <v>338</v>
      </c>
      <c r="C184" s="826" t="s">
        <v>403</v>
      </c>
      <c r="D184" s="825" t="s">
        <v>315</v>
      </c>
      <c r="E184" s="820" t="s">
        <v>166</v>
      </c>
      <c r="F184" s="820" t="s">
        <v>179</v>
      </c>
    </row>
    <row r="185" spans="1:6">
      <c r="A185" s="501">
        <v>1</v>
      </c>
      <c r="B185" s="855" t="s">
        <v>1680</v>
      </c>
      <c r="C185" s="501" t="s">
        <v>1681</v>
      </c>
      <c r="D185" s="501">
        <v>142</v>
      </c>
      <c r="E185" s="838">
        <v>2300</v>
      </c>
      <c r="F185" s="838">
        <f>D185*E185</f>
        <v>326600</v>
      </c>
    </row>
    <row r="186" spans="1:6">
      <c r="A186" s="501">
        <v>2</v>
      </c>
      <c r="B186" s="95" t="s">
        <v>527</v>
      </c>
      <c r="C186" s="501" t="s">
        <v>528</v>
      </c>
      <c r="D186" s="501" t="s">
        <v>1714</v>
      </c>
      <c r="E186" s="838">
        <v>35000</v>
      </c>
      <c r="F186" s="856">
        <f>55*E186</f>
        <v>1925000</v>
      </c>
    </row>
    <row r="187" spans="1:6">
      <c r="A187" s="501">
        <v>3</v>
      </c>
      <c r="B187" s="95" t="s">
        <v>530</v>
      </c>
      <c r="C187" s="501" t="s">
        <v>531</v>
      </c>
      <c r="D187" s="501" t="s">
        <v>1682</v>
      </c>
      <c r="E187" s="838">
        <v>14000</v>
      </c>
      <c r="F187" s="838">
        <f>60*E187</f>
        <v>840000</v>
      </c>
    </row>
    <row r="188" spans="1:6" ht="15">
      <c r="A188" s="1634" t="s">
        <v>174</v>
      </c>
      <c r="B188" s="1635"/>
      <c r="C188" s="1635"/>
      <c r="D188" s="1635"/>
      <c r="E188" s="1636"/>
      <c r="F188" s="820">
        <f>SUM(F185:F187)</f>
        <v>3091600</v>
      </c>
    </row>
    <row r="189" spans="1:6">
      <c r="A189" s="1637" t="s">
        <v>1725</v>
      </c>
      <c r="B189" s="1637"/>
      <c r="C189" s="1637"/>
      <c r="D189" s="1637"/>
      <c r="E189" s="1637"/>
      <c r="F189" s="1637"/>
    </row>
    <row r="190" spans="1:6">
      <c r="A190" s="1638" t="s">
        <v>1685</v>
      </c>
      <c r="B190" s="1638"/>
      <c r="C190" s="1638"/>
      <c r="D190" s="1638"/>
      <c r="E190" s="1638"/>
      <c r="F190" s="1638"/>
    </row>
    <row r="192" spans="1:6" ht="15">
      <c r="A192" s="854" t="s">
        <v>1726</v>
      </c>
    </row>
    <row r="193" spans="1:6" ht="30">
      <c r="A193" s="825" t="s">
        <v>1</v>
      </c>
      <c r="B193" s="825" t="s">
        <v>338</v>
      </c>
      <c r="C193" s="826" t="s">
        <v>403</v>
      </c>
      <c r="D193" s="825" t="s">
        <v>315</v>
      </c>
      <c r="E193" s="820" t="s">
        <v>166</v>
      </c>
      <c r="F193" s="820" t="s">
        <v>179</v>
      </c>
    </row>
    <row r="194" spans="1:6">
      <c r="A194" s="501">
        <v>1</v>
      </c>
      <c r="B194" s="855" t="s">
        <v>1680</v>
      </c>
      <c r="C194" s="501" t="s">
        <v>1681</v>
      </c>
      <c r="D194" s="501">
        <v>58</v>
      </c>
      <c r="E194" s="838">
        <v>2300</v>
      </c>
      <c r="F194" s="838">
        <f>D194*E194</f>
        <v>133400</v>
      </c>
    </row>
    <row r="195" spans="1:6">
      <c r="A195" s="501">
        <v>2</v>
      </c>
      <c r="B195" s="95" t="s">
        <v>527</v>
      </c>
      <c r="C195" s="501" t="s">
        <v>528</v>
      </c>
      <c r="D195" s="501" t="s">
        <v>1719</v>
      </c>
      <c r="E195" s="838">
        <v>35000</v>
      </c>
      <c r="F195" s="856">
        <f>30*E195</f>
        <v>1050000</v>
      </c>
    </row>
    <row r="196" spans="1:6">
      <c r="A196" s="501">
        <v>3</v>
      </c>
      <c r="B196" s="95" t="s">
        <v>530</v>
      </c>
      <c r="C196" s="501" t="s">
        <v>531</v>
      </c>
      <c r="D196" s="501" t="s">
        <v>1720</v>
      </c>
      <c r="E196" s="838">
        <v>14000</v>
      </c>
      <c r="F196" s="838">
        <f>35*E196</f>
        <v>490000</v>
      </c>
    </row>
    <row r="197" spans="1:6" ht="15">
      <c r="A197" s="1634" t="s">
        <v>174</v>
      </c>
      <c r="B197" s="1635"/>
      <c r="C197" s="1635"/>
      <c r="D197" s="1635"/>
      <c r="E197" s="1636"/>
      <c r="F197" s="820">
        <f>SUM(F194:F196)</f>
        <v>1673400</v>
      </c>
    </row>
    <row r="198" spans="1:6">
      <c r="A198" s="1637" t="s">
        <v>1727</v>
      </c>
      <c r="B198" s="1637"/>
      <c r="C198" s="1637"/>
      <c r="D198" s="1637"/>
      <c r="E198" s="1637"/>
      <c r="F198" s="1637"/>
    </row>
    <row r="199" spans="1:6">
      <c r="A199" s="1638" t="s">
        <v>1685</v>
      </c>
      <c r="B199" s="1638"/>
      <c r="C199" s="1638"/>
      <c r="D199" s="1638"/>
      <c r="E199" s="1638"/>
      <c r="F199" s="1638"/>
    </row>
    <row r="201" spans="1:6" ht="15">
      <c r="B201" s="860" t="s">
        <v>1728</v>
      </c>
      <c r="C201" s="700">
        <f>F8+F17+F26+F35+F44+F53+F62+F71+F80+F89+F98+F107+F116+F125+F134+F143+F152+F161+F170+F179+F188+F197</f>
        <v>66521320</v>
      </c>
    </row>
  </sheetData>
  <mergeCells count="69">
    <mergeCell ref="A29:F29"/>
    <mergeCell ref="A1:F1"/>
    <mergeCell ref="A8:E8"/>
    <mergeCell ref="A9:F9"/>
    <mergeCell ref="A10:F10"/>
    <mergeCell ref="A17:E17"/>
    <mergeCell ref="A18:F18"/>
    <mergeCell ref="A19:F19"/>
    <mergeCell ref="A20:F20"/>
    <mergeCell ref="A26:E26"/>
    <mergeCell ref="A27:F27"/>
    <mergeCell ref="A28:F28"/>
    <mergeCell ref="A64:F64"/>
    <mergeCell ref="A35:E35"/>
    <mergeCell ref="A36:F36"/>
    <mergeCell ref="A37:F37"/>
    <mergeCell ref="A44:E44"/>
    <mergeCell ref="A45:F45"/>
    <mergeCell ref="A46:F46"/>
    <mergeCell ref="A53:E53"/>
    <mergeCell ref="A54:F54"/>
    <mergeCell ref="A55:F55"/>
    <mergeCell ref="A62:E62"/>
    <mergeCell ref="A63:F63"/>
    <mergeCell ref="A100:F100"/>
    <mergeCell ref="A71:E71"/>
    <mergeCell ref="A72:F72"/>
    <mergeCell ref="A73:F73"/>
    <mergeCell ref="A80:E80"/>
    <mergeCell ref="A81:F81"/>
    <mergeCell ref="A82:F82"/>
    <mergeCell ref="A89:E89"/>
    <mergeCell ref="A90:F90"/>
    <mergeCell ref="A91:F91"/>
    <mergeCell ref="A98:E98"/>
    <mergeCell ref="A99:F99"/>
    <mergeCell ref="A136:F136"/>
    <mergeCell ref="A107:E107"/>
    <mergeCell ref="A108:F108"/>
    <mergeCell ref="A109:F109"/>
    <mergeCell ref="A116:E116"/>
    <mergeCell ref="A117:F117"/>
    <mergeCell ref="A118:F118"/>
    <mergeCell ref="A125:E125"/>
    <mergeCell ref="A126:F126"/>
    <mergeCell ref="A127:F127"/>
    <mergeCell ref="A134:E134"/>
    <mergeCell ref="A135:F135"/>
    <mergeCell ref="A172:F172"/>
    <mergeCell ref="A143:E143"/>
    <mergeCell ref="A144:F144"/>
    <mergeCell ref="A145:F145"/>
    <mergeCell ref="A152:E152"/>
    <mergeCell ref="A153:F153"/>
    <mergeCell ref="A154:F154"/>
    <mergeCell ref="A161:E161"/>
    <mergeCell ref="A162:F162"/>
    <mergeCell ref="A163:F163"/>
    <mergeCell ref="A170:E170"/>
    <mergeCell ref="A171:F171"/>
    <mergeCell ref="A197:E197"/>
    <mergeCell ref="A198:F198"/>
    <mergeCell ref="A199:F199"/>
    <mergeCell ref="A179:E179"/>
    <mergeCell ref="A180:F180"/>
    <mergeCell ref="A181:F181"/>
    <mergeCell ref="A188:E188"/>
    <mergeCell ref="A189:F189"/>
    <mergeCell ref="A190:F190"/>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workbookViewId="0">
      <selection activeCell="I16" sqref="I16"/>
    </sheetView>
  </sheetViews>
  <sheetFormatPr defaultRowHeight="14.25"/>
  <cols>
    <col min="1" max="1" width="4" customWidth="1"/>
    <col min="2" max="2" width="53" customWidth="1"/>
    <col min="3" max="3" width="15.42578125" customWidth="1"/>
    <col min="4" max="4" width="8.28515625" customWidth="1"/>
    <col min="5" max="5" width="14.42578125" style="831" customWidth="1"/>
    <col min="6" max="6" width="15.140625" style="831" customWidth="1"/>
    <col min="7" max="7" width="14.5703125" bestFit="1" customWidth="1"/>
  </cols>
  <sheetData>
    <row r="1" spans="1:8" ht="15">
      <c r="A1" s="861"/>
    </row>
    <row r="2" spans="1:8" ht="15.75">
      <c r="A2" s="1631" t="s">
        <v>1729</v>
      </c>
      <c r="B2" s="1631"/>
      <c r="C2" s="1631"/>
      <c r="D2" s="1631"/>
      <c r="E2" s="1631"/>
      <c r="F2" s="1631"/>
      <c r="G2" s="1631"/>
      <c r="H2" s="1631"/>
    </row>
    <row r="3" spans="1:8" ht="15.75">
      <c r="A3" s="862"/>
    </row>
    <row r="4" spans="1:8" ht="15">
      <c r="A4" s="839" t="s">
        <v>1730</v>
      </c>
    </row>
    <row r="5" spans="1:8" ht="15">
      <c r="A5" s="839" t="s">
        <v>1731</v>
      </c>
    </row>
    <row r="6" spans="1:8" ht="15">
      <c r="A6" s="839" t="s">
        <v>1732</v>
      </c>
    </row>
    <row r="7" spans="1:8" s="863" customFormat="1" ht="15">
      <c r="A7" s="1642" t="s">
        <v>1733</v>
      </c>
      <c r="B7" s="1642"/>
      <c r="C7" s="1642"/>
      <c r="D7" s="1642"/>
      <c r="E7" s="1642"/>
      <c r="F7" s="1642"/>
    </row>
    <row r="8" spans="1:8" ht="45">
      <c r="A8" s="825" t="s">
        <v>1</v>
      </c>
      <c r="B8" s="825" t="s">
        <v>338</v>
      </c>
      <c r="C8" s="825" t="s">
        <v>403</v>
      </c>
      <c r="D8" s="825" t="s">
        <v>315</v>
      </c>
      <c r="E8" s="820" t="s">
        <v>166</v>
      </c>
      <c r="F8" s="820" t="s">
        <v>179</v>
      </c>
    </row>
    <row r="9" spans="1:8" s="865" customFormat="1" ht="42.75">
      <c r="A9" s="579">
        <v>1</v>
      </c>
      <c r="B9" s="864" t="s">
        <v>1734</v>
      </c>
      <c r="C9" s="579" t="s">
        <v>1735</v>
      </c>
      <c r="D9" s="579">
        <v>5</v>
      </c>
      <c r="E9" s="792">
        <v>60000</v>
      </c>
      <c r="F9" s="792">
        <f>D9*E9</f>
        <v>300000</v>
      </c>
    </row>
    <row r="10" spans="1:8" s="865" customFormat="1" ht="15">
      <c r="A10" s="579">
        <v>2</v>
      </c>
      <c r="B10" s="866" t="s">
        <v>1736</v>
      </c>
      <c r="C10" s="579" t="s">
        <v>1735</v>
      </c>
      <c r="D10" s="579">
        <v>5</v>
      </c>
      <c r="E10" s="792">
        <v>60000</v>
      </c>
      <c r="F10" s="792">
        <f t="shared" ref="F10:F17" si="0">D10*E10</f>
        <v>300000</v>
      </c>
    </row>
    <row r="11" spans="1:8" s="865" customFormat="1" ht="15">
      <c r="A11" s="579">
        <v>3</v>
      </c>
      <c r="B11" s="866" t="s">
        <v>1737</v>
      </c>
      <c r="C11" s="579" t="s">
        <v>1735</v>
      </c>
      <c r="D11" s="579">
        <v>5</v>
      </c>
      <c r="E11" s="792">
        <v>60000</v>
      </c>
      <c r="F11" s="792">
        <f t="shared" si="0"/>
        <v>300000</v>
      </c>
    </row>
    <row r="12" spans="1:8" s="867" customFormat="1" ht="42.75">
      <c r="A12" s="579">
        <v>4</v>
      </c>
      <c r="B12" s="864" t="s">
        <v>1738</v>
      </c>
      <c r="C12" s="579" t="s">
        <v>1735</v>
      </c>
      <c r="D12" s="579">
        <v>5</v>
      </c>
      <c r="E12" s="792">
        <v>60000</v>
      </c>
      <c r="F12" s="792">
        <f t="shared" si="0"/>
        <v>300000</v>
      </c>
    </row>
    <row r="13" spans="1:8" s="865" customFormat="1" ht="28.5">
      <c r="A13" s="579">
        <v>5</v>
      </c>
      <c r="B13" s="864" t="s">
        <v>1739</v>
      </c>
      <c r="C13" s="579" t="s">
        <v>1735</v>
      </c>
      <c r="D13" s="579">
        <v>2</v>
      </c>
      <c r="E13" s="792">
        <v>60000</v>
      </c>
      <c r="F13" s="792">
        <f t="shared" si="0"/>
        <v>120000</v>
      </c>
    </row>
    <row r="14" spans="1:8" s="865" customFormat="1">
      <c r="A14" s="579">
        <v>6</v>
      </c>
      <c r="B14" s="864" t="s">
        <v>1740</v>
      </c>
      <c r="C14" s="579" t="s">
        <v>1735</v>
      </c>
      <c r="D14" s="579">
        <v>5</v>
      </c>
      <c r="E14" s="792">
        <v>60000</v>
      </c>
      <c r="F14" s="792">
        <f t="shared" si="0"/>
        <v>300000</v>
      </c>
    </row>
    <row r="15" spans="1:8" s="865" customFormat="1">
      <c r="A15" s="579">
        <v>7</v>
      </c>
      <c r="B15" s="868" t="s">
        <v>1741</v>
      </c>
      <c r="C15" s="579" t="s">
        <v>1735</v>
      </c>
      <c r="D15" s="579">
        <v>5</v>
      </c>
      <c r="E15" s="792">
        <v>60000</v>
      </c>
      <c r="F15" s="792">
        <f t="shared" si="0"/>
        <v>300000</v>
      </c>
    </row>
    <row r="16" spans="1:8" s="865" customFormat="1">
      <c r="A16" s="579">
        <v>8</v>
      </c>
      <c r="B16" s="864" t="s">
        <v>1742</v>
      </c>
      <c r="C16" s="579" t="s">
        <v>1735</v>
      </c>
      <c r="D16" s="579">
        <v>5</v>
      </c>
      <c r="E16" s="792">
        <v>60000</v>
      </c>
      <c r="F16" s="792">
        <f t="shared" si="0"/>
        <v>300000</v>
      </c>
    </row>
    <row r="17" spans="1:10" s="865" customFormat="1" ht="30" customHeight="1">
      <c r="A17" s="579">
        <v>9</v>
      </c>
      <c r="B17" s="869" t="s">
        <v>1743</v>
      </c>
      <c r="C17" s="579" t="s">
        <v>1735</v>
      </c>
      <c r="D17" s="579">
        <v>5</v>
      </c>
      <c r="E17" s="792">
        <v>60000</v>
      </c>
      <c r="F17" s="792">
        <f t="shared" si="0"/>
        <v>300000</v>
      </c>
    </row>
    <row r="18" spans="1:10" ht="15">
      <c r="A18" s="1263" t="s">
        <v>156</v>
      </c>
      <c r="B18" s="1263"/>
      <c r="C18" s="1263"/>
      <c r="D18" s="1263"/>
      <c r="E18" s="1263"/>
      <c r="F18" s="820">
        <f>SUM(F9:F17)</f>
        <v>2520000</v>
      </c>
    </row>
    <row r="19" spans="1:10" ht="15">
      <c r="A19" s="870"/>
      <c r="B19" s="870"/>
      <c r="C19" s="870"/>
      <c r="D19" s="870"/>
      <c r="E19" s="871"/>
      <c r="F19" s="871"/>
    </row>
    <row r="20" spans="1:10" s="872" customFormat="1" ht="33" customHeight="1">
      <c r="A20" s="1643" t="s">
        <v>1744</v>
      </c>
      <c r="B20" s="1643"/>
      <c r="C20" s="1643"/>
      <c r="D20" s="1643"/>
      <c r="E20" s="1643"/>
      <c r="F20" s="1643"/>
    </row>
    <row r="21" spans="1:10" ht="15.75">
      <c r="A21" s="1644"/>
      <c r="B21" s="1644"/>
      <c r="C21" s="1644"/>
      <c r="D21" s="1644"/>
      <c r="E21" s="1644"/>
      <c r="F21" s="1644"/>
    </row>
    <row r="22" spans="1:10" ht="15">
      <c r="A22" s="839" t="s">
        <v>1745</v>
      </c>
    </row>
    <row r="23" spans="1:10" ht="15">
      <c r="A23" s="839" t="s">
        <v>1746</v>
      </c>
    </row>
    <row r="24" spans="1:10" ht="15">
      <c r="A24" s="839" t="s">
        <v>1660</v>
      </c>
    </row>
    <row r="26" spans="1:10" s="580" customFormat="1" ht="30" customHeight="1">
      <c r="A26" s="1603" t="s">
        <v>1</v>
      </c>
      <c r="B26" s="1603" t="s">
        <v>2</v>
      </c>
      <c r="C26" s="1603" t="s">
        <v>1661</v>
      </c>
      <c r="D26" s="1603" t="s">
        <v>1662</v>
      </c>
      <c r="E26" s="1632" t="s">
        <v>397</v>
      </c>
      <c r="F26" s="1633"/>
      <c r="G26" s="1626" t="s">
        <v>1663</v>
      </c>
      <c r="J26" s="733"/>
    </row>
    <row r="27" spans="1:10" s="580" customFormat="1">
      <c r="A27" s="1605"/>
      <c r="B27" s="1605"/>
      <c r="C27" s="1605"/>
      <c r="D27" s="1605"/>
      <c r="E27" s="838" t="s">
        <v>1664</v>
      </c>
      <c r="F27" s="838" t="s">
        <v>1665</v>
      </c>
      <c r="G27" s="1627"/>
      <c r="J27" s="733"/>
    </row>
    <row r="28" spans="1:10" s="706" customFormat="1" ht="14.25" customHeight="1">
      <c r="A28" s="840">
        <v>1</v>
      </c>
      <c r="B28" s="841" t="s">
        <v>961</v>
      </c>
      <c r="C28" s="840"/>
      <c r="D28" s="840">
        <v>1</v>
      </c>
      <c r="E28" s="840"/>
      <c r="F28" s="842"/>
      <c r="G28" s="842">
        <f>+G29+G30</f>
        <v>14788000</v>
      </c>
      <c r="J28" s="843"/>
    </row>
    <row r="29" spans="1:10" s="706" customFormat="1" ht="28.5">
      <c r="A29" s="501">
        <v>1.1000000000000001</v>
      </c>
      <c r="B29" s="844" t="s">
        <v>1666</v>
      </c>
      <c r="C29" s="501" t="s">
        <v>1667</v>
      </c>
      <c r="D29" s="845" t="s">
        <v>1747</v>
      </c>
      <c r="E29" s="838" t="s">
        <v>1669</v>
      </c>
      <c r="F29" s="846">
        <v>3030100</v>
      </c>
      <c r="G29" s="846">
        <f>4*F29</f>
        <v>12120400</v>
      </c>
      <c r="J29" s="843"/>
    </row>
    <row r="30" spans="1:10" s="706" customFormat="1" ht="21.75" customHeight="1">
      <c r="A30" s="501">
        <v>1.2</v>
      </c>
      <c r="B30" s="844" t="s">
        <v>1670</v>
      </c>
      <c r="C30" s="501" t="s">
        <v>1667</v>
      </c>
      <c r="D30" s="845" t="s">
        <v>1747</v>
      </c>
      <c r="E30" s="846">
        <v>270</v>
      </c>
      <c r="F30" s="846">
        <f>+E30*2470</f>
        <v>666900</v>
      </c>
      <c r="G30" s="846">
        <f>4*F30</f>
        <v>2667600</v>
      </c>
      <c r="J30" s="843"/>
    </row>
    <row r="31" spans="1:10" s="706" customFormat="1">
      <c r="A31" s="840">
        <v>2</v>
      </c>
      <c r="B31" s="841" t="s">
        <v>1748</v>
      </c>
      <c r="C31" s="847"/>
      <c r="D31" s="848"/>
      <c r="E31" s="847"/>
      <c r="F31" s="842"/>
      <c r="G31" s="842">
        <f>+G32</f>
        <v>17784000</v>
      </c>
      <c r="J31" s="843"/>
    </row>
    <row r="32" spans="1:10" s="706" customFormat="1" ht="128.25" customHeight="1">
      <c r="A32" s="501">
        <v>2.1</v>
      </c>
      <c r="B32" s="873" t="s">
        <v>1749</v>
      </c>
      <c r="C32" s="501" t="s">
        <v>1750</v>
      </c>
      <c r="D32" s="874">
        <v>4</v>
      </c>
      <c r="E32" s="850">
        <v>1800</v>
      </c>
      <c r="F32" s="850">
        <f>+E32*2470</f>
        <v>4446000</v>
      </c>
      <c r="G32" s="850">
        <f>+D32*F32</f>
        <v>17784000</v>
      </c>
      <c r="J32" s="843"/>
    </row>
    <row r="33" spans="1:10" s="706" customFormat="1">
      <c r="A33" s="840">
        <v>2</v>
      </c>
      <c r="B33" s="841" t="s">
        <v>1671</v>
      </c>
      <c r="C33" s="847"/>
      <c r="D33" s="848"/>
      <c r="E33" s="847"/>
      <c r="F33" s="842"/>
      <c r="G33" s="842">
        <f>+G34</f>
        <v>15808000</v>
      </c>
      <c r="J33" s="843"/>
    </row>
    <row r="34" spans="1:10" s="706" customFormat="1" ht="33" customHeight="1">
      <c r="A34" s="501">
        <v>2.1</v>
      </c>
      <c r="B34" s="849" t="s">
        <v>1751</v>
      </c>
      <c r="C34" s="501" t="s">
        <v>1645</v>
      </c>
      <c r="D34" s="501" t="s">
        <v>1752</v>
      </c>
      <c r="E34" s="501">
        <v>200</v>
      </c>
      <c r="F34" s="850">
        <f>+E34*2470</f>
        <v>494000</v>
      </c>
      <c r="G34" s="838">
        <f>4*8*F34</f>
        <v>15808000</v>
      </c>
      <c r="J34" s="843"/>
    </row>
    <row r="35" spans="1:10" s="706" customFormat="1" ht="14.25" customHeight="1">
      <c r="A35" s="840">
        <v>3</v>
      </c>
      <c r="B35" s="841" t="s">
        <v>1675</v>
      </c>
      <c r="C35" s="851"/>
      <c r="D35" s="852"/>
      <c r="E35" s="851"/>
      <c r="F35" s="842"/>
      <c r="G35" s="842">
        <f>+G36</f>
        <v>5928000</v>
      </c>
      <c r="J35" s="843"/>
    </row>
    <row r="36" spans="1:10" s="580" customFormat="1">
      <c r="A36" s="579">
        <v>3.1</v>
      </c>
      <c r="B36" s="849" t="s">
        <v>1676</v>
      </c>
      <c r="C36" s="501" t="s">
        <v>1645</v>
      </c>
      <c r="D36" s="501" t="s">
        <v>1752</v>
      </c>
      <c r="E36" s="501">
        <v>60</v>
      </c>
      <c r="F36" s="850">
        <f>+E36*2470</f>
        <v>148200</v>
      </c>
      <c r="G36" s="846">
        <f>4*10*F36</f>
        <v>5928000</v>
      </c>
      <c r="J36" s="733"/>
    </row>
    <row r="37" spans="1:10" s="580" customFormat="1" ht="15">
      <c r="A37" s="1628" t="s">
        <v>390</v>
      </c>
      <c r="B37" s="1629"/>
      <c r="C37" s="1629"/>
      <c r="D37" s="1629"/>
      <c r="E37" s="1629"/>
      <c r="F37" s="1630"/>
      <c r="G37" s="802">
        <f>+G28+G31+G33+G35</f>
        <v>54308000</v>
      </c>
      <c r="J37" s="733"/>
    </row>
    <row r="38" spans="1:10" s="580" customFormat="1">
      <c r="A38" s="698"/>
      <c r="C38" s="698"/>
      <c r="D38" s="806"/>
      <c r="E38" s="806"/>
      <c r="F38" s="853"/>
      <c r="G38" s="700"/>
      <c r="J38" s="733"/>
    </row>
    <row r="39" spans="1:10" s="698" customFormat="1">
      <c r="B39" s="580" t="s">
        <v>1677</v>
      </c>
      <c r="D39" s="806"/>
      <c r="E39" s="806"/>
      <c r="F39" s="853"/>
      <c r="G39" s="231"/>
      <c r="H39" s="580"/>
      <c r="I39" s="580"/>
      <c r="J39" s="733"/>
    </row>
    <row r="40" spans="1:10" s="698" customFormat="1">
      <c r="B40" s="580" t="s">
        <v>1678</v>
      </c>
      <c r="D40" s="806"/>
      <c r="E40" s="806"/>
      <c r="F40" s="853"/>
      <c r="G40" s="700"/>
      <c r="H40" s="580"/>
      <c r="I40" s="580"/>
      <c r="J40" s="733"/>
    </row>
    <row r="41" spans="1:10" ht="15">
      <c r="F41" s="875"/>
    </row>
    <row r="42" spans="1:10">
      <c r="J42" s="447"/>
    </row>
    <row r="44" spans="1:10" ht="15" customHeight="1"/>
    <row r="46" spans="1:10" ht="15.75">
      <c r="A46" s="1641"/>
      <c r="B46" s="1641"/>
      <c r="C46" s="1641"/>
      <c r="D46" s="1641"/>
      <c r="E46" s="1641"/>
      <c r="F46" s="1641"/>
    </row>
    <row r="47" spans="1:10" ht="15">
      <c r="A47" s="876"/>
      <c r="B47" s="837"/>
      <c r="C47" s="837"/>
      <c r="D47" s="837"/>
      <c r="E47" s="877"/>
      <c r="F47" s="877"/>
    </row>
    <row r="48" spans="1:10" ht="15">
      <c r="A48" s="876"/>
      <c r="B48" s="837"/>
      <c r="C48" s="837"/>
      <c r="D48" s="837"/>
      <c r="E48" s="877"/>
      <c r="F48" s="877"/>
    </row>
    <row r="49" spans="1:6" ht="15">
      <c r="A49" s="876"/>
      <c r="B49" s="837"/>
      <c r="C49" s="837"/>
      <c r="D49" s="837"/>
      <c r="E49" s="877"/>
      <c r="F49" s="877"/>
    </row>
    <row r="50" spans="1:6">
      <c r="A50" s="1645"/>
      <c r="B50" s="1645"/>
      <c r="C50" s="1645"/>
      <c r="D50" s="1645"/>
      <c r="E50" s="1645"/>
      <c r="F50" s="1645"/>
    </row>
    <row r="51" spans="1:6" ht="15">
      <c r="A51" s="870"/>
      <c r="B51" s="830"/>
      <c r="C51" s="870"/>
      <c r="D51" s="870"/>
      <c r="E51" s="871"/>
      <c r="F51" s="871"/>
    </row>
    <row r="52" spans="1:6">
      <c r="A52" s="677"/>
      <c r="B52" s="676"/>
      <c r="C52" s="677"/>
      <c r="D52" s="677"/>
      <c r="E52" s="878"/>
      <c r="F52" s="878"/>
    </row>
    <row r="53" spans="1:6">
      <c r="A53" s="677"/>
      <c r="B53" s="676"/>
      <c r="C53" s="677"/>
      <c r="D53" s="677"/>
      <c r="E53" s="878"/>
      <c r="F53" s="878"/>
    </row>
    <row r="54" spans="1:6">
      <c r="A54" s="677"/>
      <c r="B54" s="676"/>
      <c r="C54" s="677"/>
      <c r="D54" s="677"/>
      <c r="E54" s="878"/>
      <c r="F54" s="878"/>
    </row>
    <row r="55" spans="1:6">
      <c r="A55" s="677"/>
      <c r="B55" s="676"/>
      <c r="C55" s="677"/>
      <c r="D55" s="677"/>
      <c r="E55" s="878"/>
      <c r="F55" s="878"/>
    </row>
    <row r="56" spans="1:6" ht="15">
      <c r="A56" s="1625"/>
      <c r="B56" s="1625"/>
      <c r="C56" s="1625"/>
      <c r="D56" s="1625"/>
      <c r="E56" s="1625"/>
      <c r="F56" s="871"/>
    </row>
    <row r="57" spans="1:6">
      <c r="A57" s="837"/>
      <c r="B57" s="837"/>
      <c r="C57" s="837"/>
      <c r="D57" s="837"/>
      <c r="E57" s="877"/>
      <c r="F57" s="877"/>
    </row>
    <row r="58" spans="1:6">
      <c r="A58" s="837"/>
      <c r="B58" s="837"/>
      <c r="C58" s="837"/>
      <c r="D58" s="837"/>
      <c r="E58" s="877"/>
      <c r="F58" s="877"/>
    </row>
    <row r="59" spans="1:6" ht="15.75">
      <c r="A59" s="1641"/>
      <c r="B59" s="1641"/>
      <c r="C59" s="1641"/>
      <c r="D59" s="1641"/>
      <c r="E59" s="1641"/>
      <c r="F59" s="1641"/>
    </row>
    <row r="60" spans="1:6" ht="15">
      <c r="A60" s="876"/>
      <c r="B60" s="837"/>
      <c r="C60" s="837"/>
      <c r="D60" s="837"/>
      <c r="E60" s="877"/>
      <c r="F60" s="877"/>
    </row>
    <row r="61" spans="1:6" ht="15">
      <c r="A61" s="876"/>
      <c r="B61" s="837"/>
      <c r="C61" s="837"/>
      <c r="D61" s="837"/>
      <c r="E61" s="877"/>
      <c r="F61" s="877"/>
    </row>
    <row r="62" spans="1:6" ht="15">
      <c r="A62" s="876"/>
      <c r="B62" s="837"/>
      <c r="C62" s="837"/>
      <c r="D62" s="837"/>
      <c r="E62" s="877"/>
      <c r="F62" s="877"/>
    </row>
    <row r="63" spans="1:6">
      <c r="A63" s="1640"/>
      <c r="B63" s="1640"/>
      <c r="C63" s="1640"/>
      <c r="D63" s="1640"/>
      <c r="E63" s="1640"/>
      <c r="F63" s="1640"/>
    </row>
    <row r="64" spans="1:6" ht="15">
      <c r="A64" s="830"/>
      <c r="B64" s="870"/>
      <c r="C64" s="870"/>
      <c r="D64" s="870"/>
      <c r="E64" s="871"/>
      <c r="F64" s="871"/>
    </row>
    <row r="65" spans="1:6">
      <c r="A65" s="677"/>
      <c r="B65" s="676"/>
      <c r="C65" s="676"/>
      <c r="D65" s="677"/>
      <c r="E65" s="878"/>
      <c r="F65" s="878"/>
    </row>
    <row r="66" spans="1:6" ht="15">
      <c r="A66" s="1625"/>
      <c r="B66" s="1625"/>
      <c r="C66" s="1625"/>
      <c r="D66" s="1625"/>
      <c r="E66" s="1625"/>
      <c r="F66" s="871"/>
    </row>
    <row r="67" spans="1:6" ht="15">
      <c r="A67" s="879"/>
      <c r="B67" s="837"/>
      <c r="C67" s="837"/>
      <c r="D67" s="837"/>
      <c r="E67" s="877"/>
      <c r="F67" s="877"/>
    </row>
    <row r="68" spans="1:6" ht="15">
      <c r="A68" s="876"/>
      <c r="B68" s="837"/>
      <c r="C68" s="837"/>
      <c r="D68" s="837"/>
      <c r="E68" s="877"/>
      <c r="F68" s="877"/>
    </row>
    <row r="69" spans="1:6" ht="15">
      <c r="A69" s="876"/>
      <c r="B69" s="837"/>
      <c r="C69" s="837"/>
      <c r="D69" s="837"/>
      <c r="E69" s="877"/>
      <c r="F69" s="877"/>
    </row>
    <row r="70" spans="1:6" ht="15">
      <c r="A70" s="876"/>
      <c r="B70" s="837"/>
      <c r="C70" s="837"/>
      <c r="D70" s="837"/>
      <c r="E70" s="877"/>
      <c r="F70" s="877"/>
    </row>
    <row r="71" spans="1:6">
      <c r="A71" s="1640"/>
      <c r="B71" s="1640"/>
      <c r="C71" s="1640"/>
      <c r="D71" s="1640"/>
      <c r="E71" s="1640"/>
      <c r="F71" s="1640"/>
    </row>
    <row r="72" spans="1:6" ht="15">
      <c r="A72" s="870"/>
      <c r="B72" s="870"/>
      <c r="C72" s="870"/>
      <c r="D72" s="870"/>
      <c r="E72" s="871"/>
      <c r="F72" s="871"/>
    </row>
    <row r="73" spans="1:6">
      <c r="A73" s="677"/>
      <c r="B73" s="676"/>
      <c r="C73" s="676"/>
      <c r="D73" s="677"/>
      <c r="E73" s="878"/>
      <c r="F73" s="878"/>
    </row>
    <row r="74" spans="1:6">
      <c r="A74" s="677"/>
      <c r="B74" s="676"/>
      <c r="C74" s="676"/>
      <c r="D74" s="677"/>
      <c r="E74" s="878"/>
      <c r="F74" s="878"/>
    </row>
    <row r="75" spans="1:6" ht="15">
      <c r="A75" s="1625"/>
      <c r="B75" s="1625"/>
      <c r="C75" s="1625"/>
      <c r="D75" s="1625"/>
      <c r="E75" s="1625"/>
      <c r="F75" s="871"/>
    </row>
    <row r="76" spans="1:6" ht="15">
      <c r="A76" s="870"/>
      <c r="B76" s="870"/>
      <c r="C76" s="870"/>
      <c r="D76" s="870"/>
      <c r="E76" s="871"/>
      <c r="F76" s="871"/>
    </row>
    <row r="77" spans="1:6" ht="15.75">
      <c r="A77" s="1641"/>
      <c r="B77" s="1641"/>
      <c r="C77" s="1641"/>
      <c r="D77" s="1641"/>
      <c r="E77" s="1641"/>
      <c r="F77" s="1641"/>
    </row>
    <row r="78" spans="1:6">
      <c r="A78" s="837"/>
      <c r="B78" s="837"/>
      <c r="C78" s="837"/>
      <c r="D78" s="837"/>
      <c r="E78" s="877"/>
      <c r="F78" s="877"/>
    </row>
    <row r="79" spans="1:6">
      <c r="A79" s="837"/>
      <c r="B79" s="837"/>
      <c r="C79" s="837"/>
      <c r="D79" s="837"/>
      <c r="E79" s="877"/>
      <c r="F79" s="877"/>
    </row>
    <row r="80" spans="1:6">
      <c r="A80" s="837"/>
      <c r="B80" s="837"/>
      <c r="C80" s="837"/>
      <c r="D80" s="837"/>
      <c r="E80" s="877"/>
      <c r="F80" s="877"/>
    </row>
    <row r="81" spans="1:6">
      <c r="A81" s="837"/>
      <c r="B81" s="837"/>
      <c r="C81" s="837"/>
      <c r="D81" s="837"/>
      <c r="E81" s="877"/>
      <c r="F81" s="877"/>
    </row>
    <row r="82" spans="1:6">
      <c r="A82" s="837"/>
      <c r="B82" s="837"/>
      <c r="C82" s="837"/>
      <c r="D82" s="837"/>
      <c r="E82" s="877"/>
      <c r="F82" s="877"/>
    </row>
    <row r="83" spans="1:6">
      <c r="A83" s="837"/>
      <c r="B83" s="837"/>
      <c r="C83" s="837"/>
      <c r="D83" s="837"/>
      <c r="E83" s="877"/>
      <c r="F83" s="877"/>
    </row>
    <row r="84" spans="1:6">
      <c r="A84" s="837"/>
      <c r="B84" s="837"/>
      <c r="C84" s="837"/>
      <c r="D84" s="837"/>
      <c r="E84" s="877"/>
      <c r="F84" s="877"/>
    </row>
  </sheetData>
  <mergeCells count="21">
    <mergeCell ref="A59:F59"/>
    <mergeCell ref="A2:H2"/>
    <mergeCell ref="A7:F7"/>
    <mergeCell ref="A18:E18"/>
    <mergeCell ref="A20:F20"/>
    <mergeCell ref="A21:F21"/>
    <mergeCell ref="A26:A27"/>
    <mergeCell ref="B26:B27"/>
    <mergeCell ref="C26:C27"/>
    <mergeCell ref="D26:D27"/>
    <mergeCell ref="E26:F26"/>
    <mergeCell ref="G26:G27"/>
    <mergeCell ref="A37:F37"/>
    <mergeCell ref="A46:F46"/>
    <mergeCell ref="A50:F50"/>
    <mergeCell ref="A56:E56"/>
    <mergeCell ref="A63:F63"/>
    <mergeCell ref="A66:E66"/>
    <mergeCell ref="A71:F71"/>
    <mergeCell ref="A75:E75"/>
    <mergeCell ref="A77:F77"/>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workbookViewId="0">
      <selection activeCell="F8" sqref="F8"/>
    </sheetView>
  </sheetViews>
  <sheetFormatPr defaultRowHeight="14.25"/>
  <cols>
    <col min="1" max="1" width="4.28515625" customWidth="1"/>
    <col min="2" max="2" width="25.140625" customWidth="1"/>
    <col min="3" max="3" width="17.85546875" customWidth="1"/>
    <col min="4" max="4" width="8.85546875" style="447" customWidth="1"/>
    <col min="5" max="5" width="11.28515625" style="831" customWidth="1"/>
    <col min="6" max="6" width="16.42578125" style="831" customWidth="1"/>
    <col min="11" max="11" width="11.7109375" customWidth="1"/>
    <col min="12" max="12" width="24" customWidth="1"/>
    <col min="13" max="13" width="19.7109375" customWidth="1"/>
    <col min="16" max="16" width="19.5703125" customWidth="1"/>
  </cols>
  <sheetData>
    <row r="1" spans="1:17" ht="33" customHeight="1">
      <c r="A1" s="1650" t="s">
        <v>1753</v>
      </c>
      <c r="B1" s="1650"/>
      <c r="C1" s="1650"/>
      <c r="D1" s="1650"/>
      <c r="E1" s="1650"/>
      <c r="F1" s="1650"/>
    </row>
    <row r="2" spans="1:17" ht="15">
      <c r="A2" s="880"/>
      <c r="B2" s="880"/>
      <c r="C2" s="880"/>
      <c r="D2" s="880"/>
      <c r="E2" s="881"/>
      <c r="F2" s="881"/>
    </row>
    <row r="3" spans="1:17" ht="30" customHeight="1">
      <c r="A3" s="1651" t="s">
        <v>1754</v>
      </c>
      <c r="B3" s="1651"/>
      <c r="C3" s="1651"/>
      <c r="D3" s="1651"/>
      <c r="E3" s="1651"/>
      <c r="F3" s="1651"/>
      <c r="K3" s="837"/>
      <c r="L3" s="837"/>
      <c r="M3" s="837"/>
      <c r="N3" s="837"/>
      <c r="O3" s="837"/>
      <c r="P3" s="837"/>
      <c r="Q3" s="837"/>
    </row>
    <row r="4" spans="1:17" ht="15">
      <c r="A4" s="880"/>
      <c r="B4" s="880"/>
      <c r="C4" s="880"/>
      <c r="D4" s="880"/>
      <c r="E4" s="881"/>
      <c r="F4" s="881"/>
      <c r="K4" s="837"/>
      <c r="L4" s="837"/>
      <c r="M4" s="837"/>
      <c r="N4" s="837"/>
      <c r="O4" s="837"/>
      <c r="P4" s="837"/>
      <c r="Q4" s="837"/>
    </row>
    <row r="5" spans="1:17" ht="15">
      <c r="A5" s="839" t="s">
        <v>1755</v>
      </c>
      <c r="B5" s="870"/>
      <c r="C5" s="870"/>
      <c r="D5" s="870"/>
      <c r="E5" s="871"/>
      <c r="F5" s="881"/>
      <c r="K5" s="837"/>
      <c r="L5" s="837"/>
      <c r="M5" s="837"/>
      <c r="N5" s="837"/>
      <c r="O5" s="837"/>
      <c r="P5" s="837"/>
      <c r="Q5" s="837"/>
    </row>
    <row r="6" spans="1:17" ht="15">
      <c r="A6" s="839" t="s">
        <v>1756</v>
      </c>
      <c r="B6" s="870"/>
      <c r="C6" s="870"/>
      <c r="D6" s="870"/>
      <c r="E6" s="871"/>
      <c r="F6" s="881"/>
      <c r="K6" s="837"/>
      <c r="L6" s="837"/>
      <c r="M6" s="837"/>
      <c r="N6" s="837"/>
      <c r="O6" s="837"/>
      <c r="P6" s="837"/>
      <c r="Q6" s="837"/>
    </row>
    <row r="7" spans="1:17" ht="15">
      <c r="A7" s="839" t="s">
        <v>1757</v>
      </c>
      <c r="B7" s="870"/>
      <c r="C7" s="870"/>
      <c r="D7" s="870"/>
      <c r="E7" s="871"/>
      <c r="F7" s="881"/>
      <c r="K7" s="837"/>
      <c r="L7" s="837"/>
      <c r="M7" s="837"/>
      <c r="N7" s="837"/>
      <c r="O7" s="837"/>
      <c r="P7" s="837"/>
      <c r="Q7" s="837"/>
    </row>
    <row r="8" spans="1:17" ht="21.75" customHeight="1">
      <c r="A8" s="839" t="s">
        <v>1758</v>
      </c>
      <c r="B8" s="870"/>
      <c r="C8" s="870"/>
      <c r="D8" s="870"/>
      <c r="E8" s="871"/>
      <c r="F8" s="881"/>
      <c r="K8" s="1625"/>
      <c r="L8" s="1625"/>
      <c r="M8" s="1625"/>
      <c r="N8" s="1625"/>
      <c r="O8" s="1625"/>
      <c r="P8" s="1625"/>
      <c r="Q8" s="837"/>
    </row>
    <row r="9" spans="1:17" ht="15">
      <c r="A9" s="580"/>
      <c r="B9" s="580"/>
      <c r="C9" s="580"/>
      <c r="D9" s="870"/>
      <c r="E9" s="871"/>
      <c r="F9" s="700"/>
      <c r="K9" s="830"/>
      <c r="L9" s="876"/>
      <c r="M9" s="870"/>
      <c r="N9" s="870"/>
      <c r="O9" s="870"/>
      <c r="P9" s="870"/>
      <c r="Q9" s="837"/>
    </row>
    <row r="10" spans="1:17" ht="30">
      <c r="A10" s="882" t="s">
        <v>1</v>
      </c>
      <c r="B10" s="882" t="s">
        <v>1759</v>
      </c>
      <c r="C10" s="882" t="s">
        <v>1760</v>
      </c>
      <c r="D10" s="882" t="s">
        <v>1761</v>
      </c>
      <c r="E10" s="883" t="s">
        <v>404</v>
      </c>
      <c r="F10" s="883" t="s">
        <v>179</v>
      </c>
    </row>
    <row r="11" spans="1:17" ht="42.75">
      <c r="A11" s="501">
        <v>1</v>
      </c>
      <c r="B11" s="95" t="s">
        <v>1762</v>
      </c>
      <c r="C11" s="95" t="s">
        <v>1763</v>
      </c>
      <c r="D11" s="501">
        <v>24</v>
      </c>
      <c r="E11" s="856"/>
      <c r="F11" s="884">
        <v>3560900</v>
      </c>
    </row>
    <row r="12" spans="1:17" ht="28.5">
      <c r="A12" s="501">
        <v>2</v>
      </c>
      <c r="B12" s="95" t="s">
        <v>1764</v>
      </c>
      <c r="C12" s="95" t="s">
        <v>1765</v>
      </c>
      <c r="D12" s="501">
        <v>72</v>
      </c>
      <c r="E12" s="856">
        <v>35500</v>
      </c>
      <c r="F12" s="856">
        <f>D12*E12</f>
        <v>2556000</v>
      </c>
    </row>
    <row r="13" spans="1:17" ht="28.5">
      <c r="A13" s="501">
        <v>3</v>
      </c>
      <c r="B13" s="95" t="s">
        <v>1766</v>
      </c>
      <c r="C13" s="95" t="s">
        <v>1767</v>
      </c>
      <c r="D13" s="501">
        <f>100*3*2</f>
        <v>600</v>
      </c>
      <c r="E13" s="856">
        <v>4000</v>
      </c>
      <c r="F13" s="856">
        <f>D13*E13</f>
        <v>2400000</v>
      </c>
    </row>
    <row r="14" spans="1:17" ht="28.5">
      <c r="A14" s="501">
        <v>4</v>
      </c>
      <c r="B14" s="95" t="s">
        <v>1768</v>
      </c>
      <c r="C14" s="95" t="s">
        <v>1769</v>
      </c>
      <c r="D14" s="501">
        <v>100</v>
      </c>
      <c r="E14" s="856">
        <v>3000</v>
      </c>
      <c r="F14" s="856">
        <f>D14*E14</f>
        <v>300000</v>
      </c>
    </row>
    <row r="15" spans="1:17" ht="28.5">
      <c r="A15" s="501">
        <v>5</v>
      </c>
      <c r="B15" s="95" t="s">
        <v>1770</v>
      </c>
      <c r="C15" s="95" t="s">
        <v>1771</v>
      </c>
      <c r="D15" s="501">
        <v>100</v>
      </c>
      <c r="E15" s="856">
        <v>2200</v>
      </c>
      <c r="F15" s="856">
        <f>D15*E15</f>
        <v>220000</v>
      </c>
    </row>
    <row r="16" spans="1:17" ht="28.5">
      <c r="A16" s="501">
        <v>6</v>
      </c>
      <c r="B16" s="95" t="s">
        <v>1772</v>
      </c>
      <c r="C16" s="95" t="s">
        <v>1773</v>
      </c>
      <c r="D16" s="501">
        <f>100*50</f>
        <v>5000</v>
      </c>
      <c r="E16" s="856">
        <v>50</v>
      </c>
      <c r="F16" s="856">
        <f>D16*E16</f>
        <v>250000</v>
      </c>
    </row>
    <row r="17" spans="1:9" ht="28.5">
      <c r="A17" s="501">
        <v>7</v>
      </c>
      <c r="B17" s="95" t="s">
        <v>1774</v>
      </c>
      <c r="C17" s="95" t="s">
        <v>1775</v>
      </c>
      <c r="D17" s="501">
        <v>1</v>
      </c>
      <c r="E17" s="856">
        <v>40000</v>
      </c>
      <c r="F17" s="856">
        <v>40000</v>
      </c>
    </row>
    <row r="18" spans="1:9">
      <c r="A18" s="501">
        <v>8</v>
      </c>
      <c r="B18" s="95" t="s">
        <v>1776</v>
      </c>
      <c r="C18" s="95" t="s">
        <v>1777</v>
      </c>
      <c r="D18" s="501">
        <v>3</v>
      </c>
      <c r="E18" s="856">
        <v>10000</v>
      </c>
      <c r="F18" s="856">
        <v>30000</v>
      </c>
    </row>
    <row r="19" spans="1:9">
      <c r="A19" s="501">
        <v>9</v>
      </c>
      <c r="B19" s="95" t="s">
        <v>1778</v>
      </c>
      <c r="C19" s="95" t="s">
        <v>1777</v>
      </c>
      <c r="D19" s="501">
        <v>3</v>
      </c>
      <c r="E19" s="856">
        <v>6000</v>
      </c>
      <c r="F19" s="856">
        <v>18000</v>
      </c>
    </row>
    <row r="20" spans="1:9" ht="28.5">
      <c r="A20" s="501">
        <v>11</v>
      </c>
      <c r="B20" s="95" t="s">
        <v>1779</v>
      </c>
      <c r="C20" s="95"/>
      <c r="D20" s="501"/>
      <c r="E20" s="856"/>
      <c r="F20" s="856">
        <v>100000</v>
      </c>
    </row>
    <row r="21" spans="1:9" ht="15">
      <c r="A21" s="501"/>
      <c r="B21" s="885" t="s">
        <v>284</v>
      </c>
      <c r="C21" s="95"/>
      <c r="D21" s="501"/>
      <c r="E21" s="856"/>
      <c r="F21" s="886">
        <f>SUM(F11:F20)</f>
        <v>9474900</v>
      </c>
    </row>
    <row r="22" spans="1:9" s="837" customFormat="1" ht="15">
      <c r="A22" s="621"/>
      <c r="B22" s="887"/>
      <c r="C22" s="621"/>
      <c r="D22" s="695"/>
      <c r="E22" s="680"/>
      <c r="F22" s="697"/>
      <c r="G22" s="621"/>
      <c r="H22" s="621"/>
      <c r="I22" s="621"/>
    </row>
    <row r="23" spans="1:9" ht="15">
      <c r="A23" s="1651" t="s">
        <v>1780</v>
      </c>
      <c r="B23" s="1651"/>
      <c r="C23" s="1651"/>
      <c r="D23" s="1651"/>
      <c r="E23" s="1651"/>
      <c r="F23" s="1651"/>
    </row>
    <row r="24" spans="1:9" ht="15">
      <c r="A24" s="876" t="s">
        <v>1755</v>
      </c>
      <c r="B24" s="870"/>
      <c r="C24" s="888"/>
      <c r="D24" s="888"/>
      <c r="E24" s="889"/>
      <c r="F24" s="889"/>
    </row>
    <row r="25" spans="1:9" ht="15">
      <c r="A25" s="876" t="s">
        <v>1781</v>
      </c>
      <c r="B25" s="870"/>
      <c r="C25" s="888"/>
      <c r="D25" s="888"/>
      <c r="E25" s="889"/>
      <c r="F25" s="889"/>
    </row>
    <row r="26" spans="1:9" ht="15">
      <c r="A26" s="876" t="s">
        <v>1782</v>
      </c>
      <c r="B26" s="870"/>
      <c r="C26" s="888"/>
      <c r="D26" s="888"/>
      <c r="E26" s="889"/>
      <c r="F26" s="889"/>
    </row>
    <row r="27" spans="1:9" ht="15">
      <c r="A27" s="876" t="s">
        <v>1783</v>
      </c>
      <c r="B27" s="870"/>
      <c r="C27" s="888"/>
      <c r="D27" s="888"/>
      <c r="E27" s="889"/>
      <c r="F27" s="889"/>
    </row>
    <row r="28" spans="1:9">
      <c r="A28" s="890"/>
      <c r="B28" s="890"/>
      <c r="C28" s="890"/>
      <c r="D28" s="890"/>
      <c r="E28" s="891"/>
      <c r="F28" s="889"/>
    </row>
    <row r="29" spans="1:9" ht="45">
      <c r="A29" s="892" t="s">
        <v>1</v>
      </c>
      <c r="B29" s="893" t="s">
        <v>398</v>
      </c>
      <c r="C29" s="893" t="s">
        <v>403</v>
      </c>
      <c r="D29" s="893" t="s">
        <v>327</v>
      </c>
      <c r="E29" s="894" t="s">
        <v>166</v>
      </c>
      <c r="F29" s="894" t="s">
        <v>316</v>
      </c>
    </row>
    <row r="30" spans="1:9">
      <c r="A30" s="1652">
        <v>1</v>
      </c>
      <c r="B30" s="1551" t="s">
        <v>1784</v>
      </c>
      <c r="C30" s="1598" t="s">
        <v>1785</v>
      </c>
      <c r="D30" s="1551">
        <v>80</v>
      </c>
      <c r="E30" s="895">
        <v>10000</v>
      </c>
      <c r="F30" s="1654">
        <f>20*10000+60*20000</f>
        <v>1400000</v>
      </c>
    </row>
    <row r="31" spans="1:9">
      <c r="A31" s="1653"/>
      <c r="B31" s="1553"/>
      <c r="C31" s="1599"/>
      <c r="D31" s="1553"/>
      <c r="E31" s="895">
        <v>20000</v>
      </c>
      <c r="F31" s="1655"/>
    </row>
    <row r="32" spans="1:9">
      <c r="A32" s="686">
        <v>2</v>
      </c>
      <c r="B32" s="693" t="s">
        <v>1786</v>
      </c>
      <c r="C32" s="685" t="s">
        <v>1651</v>
      </c>
      <c r="D32" s="685">
        <v>2500</v>
      </c>
      <c r="E32" s="895">
        <v>3000</v>
      </c>
      <c r="F32" s="895">
        <f t="shared" ref="F32:F37" si="0">D32*E32</f>
        <v>7500000</v>
      </c>
    </row>
    <row r="33" spans="1:9">
      <c r="A33" s="686">
        <v>3</v>
      </c>
      <c r="B33" s="693" t="s">
        <v>1787</v>
      </c>
      <c r="C33" s="685" t="s">
        <v>317</v>
      </c>
      <c r="D33" s="685">
        <v>250</v>
      </c>
      <c r="E33" s="895">
        <v>2000</v>
      </c>
      <c r="F33" s="895">
        <f t="shared" si="0"/>
        <v>500000</v>
      </c>
    </row>
    <row r="34" spans="1:9">
      <c r="A34" s="686">
        <v>4</v>
      </c>
      <c r="B34" s="693" t="s">
        <v>1776</v>
      </c>
      <c r="C34" s="685" t="s">
        <v>1788</v>
      </c>
      <c r="D34" s="685">
        <v>10</v>
      </c>
      <c r="E34" s="895">
        <v>10000</v>
      </c>
      <c r="F34" s="895">
        <f t="shared" si="0"/>
        <v>100000</v>
      </c>
    </row>
    <row r="35" spans="1:9" ht="28.5">
      <c r="A35" s="686">
        <v>5</v>
      </c>
      <c r="B35" s="686" t="s">
        <v>1789</v>
      </c>
      <c r="C35" s="685" t="s">
        <v>317</v>
      </c>
      <c r="D35" s="685">
        <v>250</v>
      </c>
      <c r="E35" s="895">
        <v>2000</v>
      </c>
      <c r="F35" s="895">
        <f t="shared" si="0"/>
        <v>500000</v>
      </c>
    </row>
    <row r="36" spans="1:9" ht="28.5">
      <c r="A36" s="686">
        <v>6</v>
      </c>
      <c r="B36" s="686" t="s">
        <v>1790</v>
      </c>
      <c r="C36" s="685" t="s">
        <v>317</v>
      </c>
      <c r="D36" s="685">
        <v>250</v>
      </c>
      <c r="E36" s="895">
        <v>15000</v>
      </c>
      <c r="F36" s="895">
        <f t="shared" si="0"/>
        <v>3750000</v>
      </c>
    </row>
    <row r="37" spans="1:9">
      <c r="A37" s="686">
        <v>7</v>
      </c>
      <c r="B37" s="693" t="s">
        <v>1791</v>
      </c>
      <c r="C37" s="685" t="s">
        <v>1785</v>
      </c>
      <c r="D37" s="685">
        <v>80</v>
      </c>
      <c r="E37" s="895">
        <v>40000</v>
      </c>
      <c r="F37" s="895">
        <f t="shared" si="0"/>
        <v>3200000</v>
      </c>
    </row>
    <row r="38" spans="1:9">
      <c r="A38" s="686">
        <v>8</v>
      </c>
      <c r="B38" s="686" t="s">
        <v>1792</v>
      </c>
      <c r="C38" s="685" t="s">
        <v>317</v>
      </c>
      <c r="D38" s="685">
        <v>5</v>
      </c>
      <c r="E38" s="895">
        <v>40000</v>
      </c>
      <c r="F38" s="895">
        <f>D38*E38</f>
        <v>200000</v>
      </c>
    </row>
    <row r="39" spans="1:9">
      <c r="A39" s="734">
        <v>9</v>
      </c>
      <c r="B39" s="686" t="s">
        <v>1793</v>
      </c>
      <c r="C39" s="685" t="s">
        <v>317</v>
      </c>
      <c r="D39" s="685">
        <v>250</v>
      </c>
      <c r="E39" s="895">
        <v>2000</v>
      </c>
      <c r="F39" s="895">
        <f>D39*E39</f>
        <v>500000</v>
      </c>
    </row>
    <row r="40" spans="1:9" ht="15">
      <c r="A40" s="686">
        <v>10</v>
      </c>
      <c r="B40" s="686" t="s">
        <v>1794</v>
      </c>
      <c r="C40" s="22"/>
      <c r="D40" s="578"/>
      <c r="E40" s="896"/>
      <c r="F40" s="896">
        <v>200000</v>
      </c>
    </row>
    <row r="41" spans="1:9">
      <c r="A41" s="1646" t="s">
        <v>1795</v>
      </c>
      <c r="B41" s="1647"/>
      <c r="C41" s="1647"/>
      <c r="D41" s="1647"/>
      <c r="E41" s="1648"/>
      <c r="F41" s="895">
        <f>(F30+F34)*11/100</f>
        <v>165000</v>
      </c>
    </row>
    <row r="42" spans="1:9" ht="15">
      <c r="A42" s="1649" t="s">
        <v>174</v>
      </c>
      <c r="B42" s="1649"/>
      <c r="C42" s="1649"/>
      <c r="D42" s="1649"/>
      <c r="E42" s="1649"/>
      <c r="F42" s="897">
        <f>SUM(F30:F41)</f>
        <v>18015000</v>
      </c>
    </row>
    <row r="43" spans="1:9" s="837" customFormat="1" ht="15">
      <c r="A43" s="621"/>
      <c r="B43" s="887"/>
      <c r="C43" s="621"/>
      <c r="D43" s="695"/>
      <c r="E43" s="680"/>
      <c r="F43" s="697"/>
      <c r="G43" s="621"/>
      <c r="H43" s="621"/>
      <c r="I43" s="621"/>
    </row>
    <row r="44" spans="1:9" s="837" customFormat="1" ht="15">
      <c r="A44" s="621"/>
      <c r="B44" s="887"/>
      <c r="C44" s="621"/>
      <c r="D44" s="695"/>
      <c r="E44" s="680"/>
      <c r="F44" s="697"/>
      <c r="G44" s="621"/>
      <c r="H44" s="621"/>
      <c r="I44" s="621"/>
    </row>
  </sheetData>
  <mergeCells count="11">
    <mergeCell ref="A41:E41"/>
    <mergeCell ref="A42:E42"/>
    <mergeCell ref="A1:F1"/>
    <mergeCell ref="A3:F3"/>
    <mergeCell ref="K8:P8"/>
    <mergeCell ref="A23:F23"/>
    <mergeCell ref="A30:A31"/>
    <mergeCell ref="B30:B31"/>
    <mergeCell ref="C30:C31"/>
    <mergeCell ref="D30:D31"/>
    <mergeCell ref="F30:F31"/>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sqref="A1:XFD1048576"/>
    </sheetView>
  </sheetViews>
  <sheetFormatPr defaultRowHeight="14.25"/>
  <cols>
    <col min="1" max="1" width="4.28515625" customWidth="1"/>
    <col min="2" max="2" width="25.140625" customWidth="1"/>
    <col min="3" max="3" width="19.7109375" customWidth="1"/>
    <col min="4" max="4" width="9.5703125" style="447" customWidth="1"/>
    <col min="5" max="5" width="13.42578125" style="831" customWidth="1"/>
    <col min="6" max="6" width="19.42578125" style="831" customWidth="1"/>
    <col min="11" max="11" width="11.7109375" customWidth="1"/>
    <col min="12" max="12" width="24" customWidth="1"/>
    <col min="13" max="13" width="19.7109375" customWidth="1"/>
    <col min="16" max="16" width="19.5703125" customWidth="1"/>
  </cols>
  <sheetData>
    <row r="1" spans="1:17" ht="15.75">
      <c r="A1" s="1650" t="s">
        <v>1796</v>
      </c>
      <c r="B1" s="1650"/>
      <c r="C1" s="1650"/>
      <c r="D1" s="1650"/>
      <c r="E1" s="1650"/>
      <c r="F1" s="1650"/>
    </row>
    <row r="2" spans="1:17" ht="15">
      <c r="A2" s="880"/>
      <c r="B2" s="880"/>
      <c r="C2" s="880"/>
      <c r="D2" s="880"/>
      <c r="E2" s="881"/>
      <c r="F2" s="881"/>
    </row>
    <row r="3" spans="1:17" ht="15">
      <c r="A3" s="839" t="s">
        <v>1755</v>
      </c>
      <c r="B3" s="870"/>
      <c r="C3" s="870"/>
      <c r="D3" s="870"/>
      <c r="E3" s="871"/>
      <c r="F3" s="881"/>
      <c r="K3" s="837"/>
      <c r="L3" s="837"/>
      <c r="M3" s="837"/>
      <c r="N3" s="837"/>
      <c r="O3" s="837"/>
      <c r="P3" s="837"/>
      <c r="Q3" s="837"/>
    </row>
    <row r="4" spans="1:17" ht="15">
      <c r="A4" s="839" t="s">
        <v>1797</v>
      </c>
      <c r="B4" s="870"/>
      <c r="C4" s="870"/>
      <c r="D4" s="870"/>
      <c r="E4" s="871"/>
      <c r="F4" s="881"/>
      <c r="K4" s="837"/>
      <c r="L4" s="837"/>
      <c r="M4" s="837"/>
      <c r="N4" s="837"/>
      <c r="O4" s="837"/>
      <c r="P4" s="837"/>
      <c r="Q4" s="837"/>
    </row>
    <row r="5" spans="1:17" ht="15">
      <c r="A5" s="839" t="s">
        <v>1798</v>
      </c>
      <c r="B5" s="870"/>
      <c r="C5" s="870"/>
      <c r="D5" s="870"/>
      <c r="E5" s="871"/>
      <c r="F5" s="881"/>
      <c r="K5" s="837"/>
      <c r="L5" s="837"/>
      <c r="M5" s="837"/>
      <c r="N5" s="837"/>
      <c r="O5" s="837"/>
      <c r="P5" s="837"/>
      <c r="Q5" s="837"/>
    </row>
    <row r="6" spans="1:17" ht="15">
      <c r="A6" s="839" t="s">
        <v>1758</v>
      </c>
      <c r="B6" s="870"/>
      <c r="C6" s="870"/>
      <c r="D6" s="870"/>
      <c r="E6" s="871"/>
      <c r="F6" s="881"/>
      <c r="K6" s="1625"/>
      <c r="L6" s="1625"/>
      <c r="M6" s="1625"/>
      <c r="N6" s="1625"/>
      <c r="O6" s="1625"/>
      <c r="P6" s="1625"/>
      <c r="Q6" s="837"/>
    </row>
    <row r="7" spans="1:17" ht="15">
      <c r="A7" s="580"/>
      <c r="B7" s="580"/>
      <c r="C7" s="580"/>
      <c r="D7" s="870"/>
      <c r="E7" s="871"/>
      <c r="F7" s="700"/>
      <c r="K7" s="830"/>
      <c r="L7" s="876"/>
      <c r="M7" s="870"/>
      <c r="N7" s="870"/>
      <c r="O7" s="870"/>
      <c r="P7" s="870"/>
      <c r="Q7" s="837"/>
    </row>
    <row r="8" spans="1:17" ht="30">
      <c r="A8" s="882" t="s">
        <v>1</v>
      </c>
      <c r="B8" s="882" t="s">
        <v>1759</v>
      </c>
      <c r="C8" s="882" t="s">
        <v>1760</v>
      </c>
      <c r="D8" s="882" t="s">
        <v>1761</v>
      </c>
      <c r="E8" s="883" t="s">
        <v>404</v>
      </c>
      <c r="F8" s="883" t="s">
        <v>179</v>
      </c>
    </row>
    <row r="9" spans="1:17">
      <c r="A9" s="501">
        <v>1</v>
      </c>
      <c r="B9" s="95" t="s">
        <v>1799</v>
      </c>
      <c r="C9" s="95" t="s">
        <v>1800</v>
      </c>
      <c r="D9" s="501">
        <f>4*2</f>
        <v>8</v>
      </c>
      <c r="E9" s="856">
        <v>20000</v>
      </c>
      <c r="F9" s="856">
        <f>D9*E9</f>
        <v>160000</v>
      </c>
    </row>
    <row r="10" spans="1:17" ht="28.5">
      <c r="A10" s="501">
        <f>+A9+1</f>
        <v>2</v>
      </c>
      <c r="B10" s="95" t="s">
        <v>1766</v>
      </c>
      <c r="C10" s="95" t="s">
        <v>1801</v>
      </c>
      <c r="D10" s="501">
        <f>50*1*2</f>
        <v>100</v>
      </c>
      <c r="E10" s="856">
        <v>4000</v>
      </c>
      <c r="F10" s="856">
        <f>D10*E10</f>
        <v>400000</v>
      </c>
    </row>
    <row r="11" spans="1:17" ht="28.5">
      <c r="A11" s="501">
        <f t="shared" ref="A11:A17" si="0">+A10+1</f>
        <v>3</v>
      </c>
      <c r="B11" s="95" t="s">
        <v>1802</v>
      </c>
      <c r="C11" s="95" t="s">
        <v>1803</v>
      </c>
      <c r="D11" s="501">
        <v>50</v>
      </c>
      <c r="E11" s="856">
        <v>10000</v>
      </c>
      <c r="F11" s="856">
        <f>D11*E11</f>
        <v>500000</v>
      </c>
    </row>
    <row r="12" spans="1:17" ht="28.5">
      <c r="A12" s="501">
        <f t="shared" si="0"/>
        <v>4</v>
      </c>
      <c r="B12" s="95" t="s">
        <v>1768</v>
      </c>
      <c r="C12" s="95" t="s">
        <v>1804</v>
      </c>
      <c r="D12" s="501">
        <v>50</v>
      </c>
      <c r="E12" s="856">
        <v>3000</v>
      </c>
      <c r="F12" s="856">
        <f>D12*E12</f>
        <v>150000</v>
      </c>
    </row>
    <row r="13" spans="1:17" ht="28.5">
      <c r="A13" s="501">
        <f t="shared" si="0"/>
        <v>5</v>
      </c>
      <c r="B13" s="95" t="s">
        <v>1772</v>
      </c>
      <c r="C13" s="95" t="s">
        <v>1773</v>
      </c>
      <c r="D13" s="501">
        <f>100*50</f>
        <v>5000</v>
      </c>
      <c r="E13" s="856">
        <v>50</v>
      </c>
      <c r="F13" s="856">
        <f>D13*E13</f>
        <v>250000</v>
      </c>
    </row>
    <row r="14" spans="1:17" ht="28.5">
      <c r="A14" s="501">
        <f t="shared" si="0"/>
        <v>6</v>
      </c>
      <c r="B14" s="95" t="s">
        <v>1774</v>
      </c>
      <c r="C14" s="95" t="s">
        <v>1775</v>
      </c>
      <c r="D14" s="501">
        <v>1</v>
      </c>
      <c r="E14" s="856">
        <v>40000</v>
      </c>
      <c r="F14" s="856">
        <v>40000</v>
      </c>
    </row>
    <row r="15" spans="1:17">
      <c r="A15" s="501">
        <f t="shared" si="0"/>
        <v>7</v>
      </c>
      <c r="B15" s="95" t="s">
        <v>1776</v>
      </c>
      <c r="C15" s="95" t="s">
        <v>1777</v>
      </c>
      <c r="D15" s="501">
        <v>3</v>
      </c>
      <c r="E15" s="856">
        <v>10000</v>
      </c>
      <c r="F15" s="856">
        <v>30000</v>
      </c>
    </row>
    <row r="16" spans="1:17">
      <c r="A16" s="501">
        <f t="shared" si="0"/>
        <v>8</v>
      </c>
      <c r="B16" s="95" t="s">
        <v>1778</v>
      </c>
      <c r="C16" s="95" t="s">
        <v>1777</v>
      </c>
      <c r="D16" s="501">
        <v>3</v>
      </c>
      <c r="E16" s="856">
        <v>6000</v>
      </c>
      <c r="F16" s="856">
        <v>18000</v>
      </c>
    </row>
    <row r="17" spans="1:9" ht="28.5">
      <c r="A17" s="501">
        <f t="shared" si="0"/>
        <v>9</v>
      </c>
      <c r="B17" s="95" t="s">
        <v>1779</v>
      </c>
      <c r="C17" s="95"/>
      <c r="D17" s="501"/>
      <c r="E17" s="856"/>
      <c r="F17" s="856">
        <v>100000</v>
      </c>
    </row>
    <row r="18" spans="1:9" ht="15">
      <c r="A18" s="501"/>
      <c r="B18" s="885" t="s">
        <v>284</v>
      </c>
      <c r="C18" s="95"/>
      <c r="D18" s="501"/>
      <c r="E18" s="856"/>
      <c r="F18" s="886">
        <f>SUM(F9:F17)</f>
        <v>1648000</v>
      </c>
    </row>
    <row r="19" spans="1:9" s="837" customFormat="1" ht="15">
      <c r="A19" s="621"/>
      <c r="B19" s="887"/>
      <c r="C19" s="621"/>
      <c r="D19" s="695"/>
      <c r="E19" s="680"/>
      <c r="F19" s="697"/>
      <c r="G19" s="621"/>
      <c r="H19" s="621"/>
      <c r="I19" s="621"/>
    </row>
  </sheetData>
  <mergeCells count="2">
    <mergeCell ref="A1:F1"/>
    <mergeCell ref="K6:P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0"/>
  <sheetViews>
    <sheetView topLeftCell="A52" workbookViewId="0">
      <selection activeCell="F446" sqref="F446"/>
    </sheetView>
  </sheetViews>
  <sheetFormatPr defaultRowHeight="12"/>
  <cols>
    <col min="1" max="1" width="4.42578125" style="1146" customWidth="1"/>
    <col min="2" max="2" width="23.42578125" style="1137" customWidth="1"/>
    <col min="3" max="3" width="37.85546875" style="1137" customWidth="1"/>
    <col min="4" max="4" width="8.28515625" style="1147" customWidth="1"/>
    <col min="5" max="5" width="13.42578125" style="1148" customWidth="1"/>
    <col min="6" max="6" width="14.85546875" style="1148" customWidth="1"/>
    <col min="7" max="16384" width="9.140625" style="1137"/>
  </cols>
  <sheetData>
    <row r="1" spans="1:6" s="283" customFormat="1">
      <c r="A1" s="284"/>
      <c r="B1" s="1241" t="s">
        <v>2752</v>
      </c>
      <c r="C1" s="1241"/>
      <c r="D1" s="1241"/>
      <c r="E1" s="1241"/>
      <c r="F1" s="1088"/>
    </row>
    <row r="2" spans="1:6" s="283" customFormat="1">
      <c r="A2" s="284"/>
      <c r="B2" s="1089"/>
      <c r="D2" s="1090"/>
      <c r="E2" s="1088"/>
      <c r="F2" s="1088"/>
    </row>
    <row r="3" spans="1:6" s="283" customFormat="1">
      <c r="A3" s="1091" t="s">
        <v>2753</v>
      </c>
      <c r="B3" s="1091"/>
      <c r="D3" s="1090"/>
      <c r="E3" s="1088"/>
      <c r="F3" s="1088"/>
    </row>
    <row r="4" spans="1:6" s="283" customFormat="1">
      <c r="A4" s="284"/>
      <c r="B4" s="1089"/>
      <c r="D4" s="1090"/>
      <c r="E4" s="1088"/>
      <c r="F4" s="1088"/>
    </row>
    <row r="5" spans="1:6" s="283" customFormat="1">
      <c r="A5" s="284"/>
      <c r="B5" s="1092" t="s">
        <v>2754</v>
      </c>
      <c r="D5" s="1090"/>
      <c r="E5" s="1088"/>
      <c r="F5" s="1088"/>
    </row>
    <row r="6" spans="1:6" s="283" customFormat="1">
      <c r="A6" s="284"/>
      <c r="B6" s="1093"/>
      <c r="C6" s="1094"/>
      <c r="D6" s="1095"/>
      <c r="E6" s="1096"/>
      <c r="F6" s="1096"/>
    </row>
    <row r="7" spans="1:6" s="283" customFormat="1" ht="24">
      <c r="A7" s="38" t="s">
        <v>1</v>
      </c>
      <c r="B7" s="1097" t="s">
        <v>325</v>
      </c>
      <c r="C7" s="38" t="s">
        <v>326</v>
      </c>
      <c r="D7" s="1098" t="s">
        <v>327</v>
      </c>
      <c r="E7" s="1098" t="s">
        <v>166</v>
      </c>
      <c r="F7" s="1098" t="s">
        <v>328</v>
      </c>
    </row>
    <row r="8" spans="1:6" s="283" customFormat="1" ht="24">
      <c r="A8" s="994">
        <v>1</v>
      </c>
      <c r="B8" s="49" t="s">
        <v>2755</v>
      </c>
      <c r="C8" s="40" t="s">
        <v>2756</v>
      </c>
      <c r="D8" s="1099">
        <v>1</v>
      </c>
      <c r="E8" s="1100">
        <v>583949113</v>
      </c>
      <c r="F8" s="1100">
        <f t="shared" ref="F8" si="0">+E8*D8</f>
        <v>583949113</v>
      </c>
    </row>
    <row r="9" spans="1:6" s="283" customFormat="1">
      <c r="A9" s="42"/>
      <c r="B9" s="1101" t="s">
        <v>174</v>
      </c>
      <c r="C9" s="42"/>
      <c r="D9" s="1098"/>
      <c r="E9" s="1098"/>
      <c r="F9" s="1098">
        <f>SUM(F8)</f>
        <v>583949113</v>
      </c>
    </row>
    <row r="10" spans="1:6" s="283" customFormat="1">
      <c r="A10" s="1102"/>
      <c r="B10" s="1103"/>
      <c r="C10" s="1102"/>
      <c r="D10" s="1104"/>
      <c r="E10" s="1104"/>
      <c r="F10" s="1104"/>
    </row>
    <row r="11" spans="1:6" s="283" customFormat="1">
      <c r="A11" s="1091" t="s">
        <v>2757</v>
      </c>
      <c r="B11" s="1091"/>
      <c r="D11" s="1090"/>
      <c r="E11" s="1088"/>
      <c r="F11" s="1088"/>
    </row>
    <row r="12" spans="1:6" s="283" customFormat="1">
      <c r="A12" s="284"/>
      <c r="B12" s="1089"/>
      <c r="D12" s="1090"/>
      <c r="E12" s="1088"/>
      <c r="F12" s="1088"/>
    </row>
    <row r="13" spans="1:6" s="283" customFormat="1">
      <c r="A13" s="284"/>
      <c r="B13" s="1092" t="s">
        <v>2758</v>
      </c>
      <c r="D13" s="1090"/>
      <c r="E13" s="1088"/>
      <c r="F13" s="1088"/>
    </row>
    <row r="14" spans="1:6" s="283" customFormat="1">
      <c r="A14" s="284"/>
      <c r="B14" s="1093"/>
      <c r="C14" s="1094"/>
      <c r="D14" s="1095"/>
      <c r="E14" s="1096"/>
      <c r="F14" s="1096"/>
    </row>
    <row r="15" spans="1:6" s="283" customFormat="1" ht="24">
      <c r="A15" s="38" t="s">
        <v>1</v>
      </c>
      <c r="B15" s="1097" t="s">
        <v>325</v>
      </c>
      <c r="C15" s="38" t="s">
        <v>326</v>
      </c>
      <c r="D15" s="1098" t="s">
        <v>327</v>
      </c>
      <c r="E15" s="1098" t="s">
        <v>166</v>
      </c>
      <c r="F15" s="1098" t="s">
        <v>328</v>
      </c>
    </row>
    <row r="16" spans="1:6" s="283" customFormat="1" ht="24">
      <c r="A16" s="994">
        <v>1</v>
      </c>
      <c r="B16" s="49" t="s">
        <v>2759</v>
      </c>
      <c r="C16" s="49" t="s">
        <v>2759</v>
      </c>
      <c r="D16" s="1099">
        <v>1</v>
      </c>
      <c r="E16" s="1100">
        <v>125000000</v>
      </c>
      <c r="F16" s="1100">
        <f t="shared" ref="F16" si="1">+E16*D16</f>
        <v>125000000</v>
      </c>
    </row>
    <row r="17" spans="1:6" s="283" customFormat="1">
      <c r="A17" s="42"/>
      <c r="B17" s="1101" t="s">
        <v>174</v>
      </c>
      <c r="C17" s="42"/>
      <c r="D17" s="1098"/>
      <c r="E17" s="1098"/>
      <c r="F17" s="1098">
        <f>SUM(F16)</f>
        <v>125000000</v>
      </c>
    </row>
    <row r="18" spans="1:6" s="283" customFormat="1">
      <c r="A18" s="1102"/>
      <c r="B18" s="1103"/>
      <c r="C18" s="1102"/>
      <c r="D18" s="1104"/>
      <c r="E18" s="1104"/>
      <c r="F18" s="1104"/>
    </row>
    <row r="19" spans="1:6" s="283" customFormat="1">
      <c r="A19" s="1102"/>
      <c r="B19" s="1103"/>
      <c r="C19" s="1102"/>
      <c r="D19" s="1104"/>
      <c r="E19" s="1104"/>
      <c r="F19" s="1104"/>
    </row>
    <row r="20" spans="1:6" s="283" customFormat="1">
      <c r="A20" s="1102"/>
      <c r="B20" s="1103"/>
      <c r="C20" s="1102"/>
      <c r="D20" s="1104"/>
      <c r="E20" s="1104"/>
      <c r="F20" s="1104"/>
    </row>
    <row r="21" spans="1:6" s="283" customFormat="1">
      <c r="A21" s="1102"/>
      <c r="B21" s="1103"/>
      <c r="C21" s="1102"/>
      <c r="D21" s="1104"/>
      <c r="E21" s="1104"/>
      <c r="F21" s="1104"/>
    </row>
    <row r="22" spans="1:6" s="283" customFormat="1">
      <c r="A22" s="1102"/>
      <c r="B22" s="1103"/>
      <c r="C22" s="1102"/>
      <c r="D22" s="1104"/>
      <c r="E22" s="1104"/>
      <c r="F22" s="1104"/>
    </row>
    <row r="23" spans="1:6" s="283" customFormat="1">
      <c r="A23" s="1102"/>
      <c r="B23" s="1103"/>
      <c r="C23" s="1102"/>
      <c r="D23" s="1104"/>
      <c r="E23" s="1104"/>
      <c r="F23" s="1104"/>
    </row>
    <row r="24" spans="1:6" s="283" customFormat="1">
      <c r="A24" s="1102"/>
      <c r="B24" s="1103"/>
      <c r="C24" s="1102"/>
      <c r="D24" s="1104"/>
      <c r="E24" s="1104"/>
      <c r="F24" s="1104"/>
    </row>
    <row r="25" spans="1:6" s="283" customFormat="1">
      <c r="A25" s="1102"/>
      <c r="B25" s="1103"/>
      <c r="C25" s="1102"/>
      <c r="D25" s="1104"/>
      <c r="E25" s="1104"/>
      <c r="F25" s="1104"/>
    </row>
    <row r="26" spans="1:6" s="283" customFormat="1">
      <c r="A26" s="1102"/>
      <c r="B26" s="1103"/>
      <c r="C26" s="1102"/>
      <c r="D26" s="1104"/>
      <c r="E26" s="1104"/>
      <c r="F26" s="1104"/>
    </row>
    <row r="27" spans="1:6" s="283" customFormat="1">
      <c r="A27" s="1102"/>
      <c r="B27" s="1103"/>
      <c r="C27" s="1102"/>
      <c r="D27" s="1104"/>
      <c r="E27" s="1104"/>
      <c r="F27" s="1104"/>
    </row>
    <row r="28" spans="1:6" s="283" customFormat="1">
      <c r="A28" s="1102"/>
      <c r="B28" s="1103"/>
      <c r="C28" s="1102"/>
      <c r="D28" s="1104"/>
      <c r="E28" s="1104"/>
      <c r="F28" s="1104"/>
    </row>
    <row r="29" spans="1:6" s="283" customFormat="1">
      <c r="A29" s="1102"/>
      <c r="B29" s="1103"/>
      <c r="C29" s="1102"/>
      <c r="D29" s="1104"/>
      <c r="E29" s="1104"/>
      <c r="F29" s="1104"/>
    </row>
    <row r="30" spans="1:6" s="283" customFormat="1">
      <c r="A30" s="1102"/>
      <c r="B30" s="1103"/>
      <c r="C30" s="1102"/>
      <c r="D30" s="1104"/>
      <c r="E30" s="1104"/>
      <c r="F30" s="1104"/>
    </row>
    <row r="31" spans="1:6" s="283" customFormat="1">
      <c r="A31" s="1102"/>
      <c r="B31" s="1103"/>
      <c r="C31" s="1102"/>
      <c r="D31" s="1104"/>
      <c r="E31" s="1104"/>
      <c r="F31" s="1104"/>
    </row>
    <row r="32" spans="1:6" s="283" customFormat="1">
      <c r="A32" s="1102"/>
      <c r="B32" s="1103"/>
      <c r="C32" s="1102"/>
      <c r="D32" s="1104"/>
      <c r="E32" s="1104"/>
      <c r="F32" s="1104"/>
    </row>
    <row r="33" spans="1:6" s="283" customFormat="1">
      <c r="A33" s="1102"/>
      <c r="B33" s="1103"/>
      <c r="C33" s="1102"/>
      <c r="D33" s="1104"/>
      <c r="E33" s="1104"/>
      <c r="F33" s="1104"/>
    </row>
    <row r="34" spans="1:6" s="283" customFormat="1">
      <c r="A34" s="1102"/>
      <c r="B34" s="1103"/>
      <c r="C34" s="1102"/>
      <c r="D34" s="1104"/>
      <c r="E34" s="1104"/>
      <c r="F34" s="1104"/>
    </row>
    <row r="35" spans="1:6" s="283" customFormat="1">
      <c r="A35" s="1102"/>
      <c r="B35" s="1103"/>
      <c r="C35" s="1102"/>
      <c r="D35" s="1104"/>
      <c r="E35" s="1104"/>
      <c r="F35" s="1104"/>
    </row>
    <row r="36" spans="1:6" s="283" customFormat="1">
      <c r="A36" s="1102"/>
      <c r="B36" s="1103"/>
      <c r="C36" s="1102"/>
      <c r="D36" s="1104"/>
      <c r="E36" s="1104"/>
      <c r="F36" s="1104"/>
    </row>
    <row r="37" spans="1:6" s="283" customFormat="1">
      <c r="A37" s="1102"/>
      <c r="B37" s="1103"/>
      <c r="C37" s="1102"/>
      <c r="D37" s="1104"/>
      <c r="E37" s="1104"/>
      <c r="F37" s="1104"/>
    </row>
    <row r="38" spans="1:6" s="283" customFormat="1">
      <c r="A38" s="1102"/>
      <c r="B38" s="1103"/>
      <c r="C38" s="1102"/>
      <c r="D38" s="1104"/>
      <c r="E38" s="1104"/>
      <c r="F38" s="1104"/>
    </row>
    <row r="39" spans="1:6" s="283" customFormat="1">
      <c r="A39" s="1102"/>
      <c r="B39" s="1103"/>
      <c r="C39" s="1102"/>
      <c r="D39" s="1104"/>
      <c r="E39" s="1104"/>
      <c r="F39" s="1104"/>
    </row>
    <row r="40" spans="1:6" s="283" customFormat="1">
      <c r="A40" s="1102"/>
      <c r="B40" s="1103"/>
      <c r="C40" s="1102"/>
      <c r="D40" s="1104"/>
      <c r="E40" s="1104"/>
      <c r="F40" s="1104"/>
    </row>
    <row r="41" spans="1:6" s="283" customFormat="1">
      <c r="A41" s="1102"/>
      <c r="B41" s="1103"/>
      <c r="C41" s="1102"/>
      <c r="D41" s="1104"/>
      <c r="E41" s="1104"/>
      <c r="F41" s="1104"/>
    </row>
    <row r="42" spans="1:6" s="283" customFormat="1">
      <c r="A42" s="1102"/>
      <c r="B42" s="1103"/>
      <c r="C42" s="1102"/>
      <c r="D42" s="1104"/>
      <c r="E42" s="1104"/>
      <c r="F42" s="1104"/>
    </row>
    <row r="43" spans="1:6" s="283" customFormat="1">
      <c r="A43" s="1102"/>
      <c r="B43" s="1103"/>
      <c r="C43" s="1102"/>
      <c r="D43" s="1104"/>
      <c r="E43" s="1104"/>
      <c r="F43" s="1104"/>
    </row>
    <row r="44" spans="1:6" s="283" customFormat="1">
      <c r="A44" s="1102"/>
      <c r="B44" s="1103"/>
      <c r="C44" s="1102"/>
      <c r="D44" s="1104"/>
      <c r="E44" s="1104"/>
      <c r="F44" s="1104"/>
    </row>
    <row r="45" spans="1:6" s="283" customFormat="1">
      <c r="A45" s="1102"/>
      <c r="B45" s="1103"/>
      <c r="C45" s="1102"/>
      <c r="D45" s="1104"/>
      <c r="E45" s="1104"/>
      <c r="F45" s="1104"/>
    </row>
    <row r="46" spans="1:6" s="283" customFormat="1">
      <c r="A46" s="1102"/>
      <c r="B46" s="1103"/>
      <c r="C46" s="1102"/>
      <c r="D46" s="1104"/>
      <c r="E46" s="1104"/>
      <c r="F46" s="1104"/>
    </row>
    <row r="47" spans="1:6" s="283" customFormat="1">
      <c r="A47" s="1102"/>
      <c r="B47" s="1103"/>
      <c r="C47" s="1102"/>
      <c r="D47" s="1104"/>
      <c r="E47" s="1104"/>
      <c r="F47" s="1104"/>
    </row>
    <row r="48" spans="1:6" s="283" customFormat="1">
      <c r="A48" s="1102"/>
      <c r="B48" s="1103"/>
      <c r="C48" s="1102"/>
      <c r="D48" s="1104"/>
      <c r="E48" s="1104"/>
      <c r="F48" s="1104"/>
    </row>
    <row r="49" spans="1:6" s="283" customFormat="1">
      <c r="A49" s="1102"/>
      <c r="B49" s="1103"/>
      <c r="C49" s="1102"/>
      <c r="D49" s="1104"/>
      <c r="E49" s="1104"/>
      <c r="F49" s="1104"/>
    </row>
    <row r="50" spans="1:6" s="283" customFormat="1">
      <c r="A50" s="1102"/>
      <c r="B50" s="1103"/>
      <c r="C50" s="1102"/>
      <c r="D50" s="1104"/>
      <c r="E50" s="1104"/>
      <c r="F50" s="1104"/>
    </row>
    <row r="51" spans="1:6" s="283" customFormat="1">
      <c r="A51" s="1102"/>
      <c r="B51" s="1103"/>
      <c r="C51" s="1102"/>
      <c r="D51" s="1104"/>
      <c r="E51" s="1104"/>
      <c r="F51" s="1104"/>
    </row>
    <row r="52" spans="1:6" s="283" customFormat="1">
      <c r="A52" s="1242" t="s">
        <v>2760</v>
      </c>
      <c r="B52" s="1242"/>
      <c r="D52" s="1090"/>
      <c r="E52" s="1088"/>
      <c r="F52" s="1088"/>
    </row>
    <row r="53" spans="1:6" s="283" customFormat="1">
      <c r="A53" s="284"/>
      <c r="B53" s="1089"/>
      <c r="D53" s="1090"/>
      <c r="E53" s="1088"/>
      <c r="F53" s="1088"/>
    </row>
    <row r="54" spans="1:6" s="283" customFormat="1">
      <c r="A54" s="284"/>
      <c r="B54" s="1092" t="s">
        <v>93</v>
      </c>
      <c r="D54" s="1090"/>
      <c r="E54" s="1088"/>
      <c r="F54" s="1088"/>
    </row>
    <row r="55" spans="1:6" s="283" customFormat="1">
      <c r="A55" s="284"/>
      <c r="B55" s="1093"/>
      <c r="C55" s="1094"/>
      <c r="D55" s="1095"/>
      <c r="E55" s="1096"/>
      <c r="F55" s="1096"/>
    </row>
    <row r="56" spans="1:6" s="283" customFormat="1" ht="24">
      <c r="A56" s="38" t="s">
        <v>1</v>
      </c>
      <c r="B56" s="1097" t="s">
        <v>325</v>
      </c>
      <c r="C56" s="38" t="s">
        <v>326</v>
      </c>
      <c r="D56" s="1098" t="s">
        <v>327</v>
      </c>
      <c r="E56" s="1098" t="s">
        <v>166</v>
      </c>
      <c r="F56" s="1098" t="s">
        <v>328</v>
      </c>
    </row>
    <row r="57" spans="1:6" s="283" customFormat="1">
      <c r="A57" s="994">
        <v>1</v>
      </c>
      <c r="B57" s="49" t="s">
        <v>1401</v>
      </c>
      <c r="C57" s="994"/>
      <c r="D57" s="1099">
        <v>1</v>
      </c>
      <c r="E57" s="1099">
        <v>5000000</v>
      </c>
      <c r="F57" s="1099">
        <f t="shared" ref="F57:F63" si="2">+E57*D57</f>
        <v>5000000</v>
      </c>
    </row>
    <row r="58" spans="1:6" s="283" customFormat="1" ht="24">
      <c r="A58" s="994">
        <v>2</v>
      </c>
      <c r="B58" s="49" t="s">
        <v>2761</v>
      </c>
      <c r="C58" s="994" t="s">
        <v>2762</v>
      </c>
      <c r="D58" s="1099">
        <v>2</v>
      </c>
      <c r="E58" s="1099">
        <v>750000</v>
      </c>
      <c r="F58" s="1099">
        <f t="shared" si="2"/>
        <v>1500000</v>
      </c>
    </row>
    <row r="59" spans="1:6" s="283" customFormat="1" ht="36">
      <c r="A59" s="994">
        <v>3</v>
      </c>
      <c r="B59" s="49" t="s">
        <v>814</v>
      </c>
      <c r="C59" s="40" t="s">
        <v>332</v>
      </c>
      <c r="D59" s="1099">
        <v>2</v>
      </c>
      <c r="E59" s="1100">
        <v>250000</v>
      </c>
      <c r="F59" s="1100">
        <f t="shared" si="2"/>
        <v>500000</v>
      </c>
    </row>
    <row r="60" spans="1:6" s="283" customFormat="1" ht="36">
      <c r="A60" s="994">
        <v>4</v>
      </c>
      <c r="B60" s="49" t="s">
        <v>335</v>
      </c>
      <c r="C60" s="40" t="s">
        <v>336</v>
      </c>
      <c r="D60" s="1099">
        <v>4</v>
      </c>
      <c r="E60" s="1100">
        <v>2000000</v>
      </c>
      <c r="F60" s="1100">
        <f t="shared" si="2"/>
        <v>8000000</v>
      </c>
    </row>
    <row r="61" spans="1:6" s="283" customFormat="1" ht="24">
      <c r="A61" s="994">
        <v>5</v>
      </c>
      <c r="B61" s="49" t="s">
        <v>2763</v>
      </c>
      <c r="C61" s="49" t="s">
        <v>2764</v>
      </c>
      <c r="D61" s="1099">
        <v>60</v>
      </c>
      <c r="E61" s="1100">
        <v>35000</v>
      </c>
      <c r="F61" s="1100">
        <f t="shared" si="2"/>
        <v>2100000</v>
      </c>
    </row>
    <row r="62" spans="1:6" s="283" customFormat="1" ht="60">
      <c r="A62" s="994">
        <v>6</v>
      </c>
      <c r="B62" s="49" t="s">
        <v>1416</v>
      </c>
      <c r="C62" s="40" t="s">
        <v>330</v>
      </c>
      <c r="D62" s="1099">
        <v>78</v>
      </c>
      <c r="E62" s="1100">
        <v>25000</v>
      </c>
      <c r="F62" s="1100">
        <f t="shared" si="2"/>
        <v>1950000</v>
      </c>
    </row>
    <row r="63" spans="1:6" s="283" customFormat="1" ht="60">
      <c r="A63" s="994">
        <v>7</v>
      </c>
      <c r="B63" s="49" t="s">
        <v>331</v>
      </c>
      <c r="C63" s="40" t="s">
        <v>330</v>
      </c>
      <c r="D63" s="1099">
        <v>76</v>
      </c>
      <c r="E63" s="1100">
        <v>40000</v>
      </c>
      <c r="F63" s="1100">
        <f t="shared" si="2"/>
        <v>3040000</v>
      </c>
    </row>
    <row r="64" spans="1:6" s="283" customFormat="1">
      <c r="A64" s="42"/>
      <c r="B64" s="1101" t="s">
        <v>174</v>
      </c>
      <c r="C64" s="42"/>
      <c r="D64" s="1098"/>
      <c r="E64" s="1098"/>
      <c r="F64" s="1098">
        <f>SUM(F57:F60)</f>
        <v>15000000</v>
      </c>
    </row>
    <row r="65" spans="1:6" s="283" customFormat="1">
      <c r="A65" s="284"/>
      <c r="B65" s="1089"/>
      <c r="D65" s="1090"/>
      <c r="E65" s="1088"/>
      <c r="F65" s="1088"/>
    </row>
    <row r="66" spans="1:6" s="283" customFormat="1">
      <c r="A66" s="284"/>
      <c r="B66" s="1243" t="s">
        <v>2765</v>
      </c>
      <c r="C66" s="1243"/>
      <c r="D66" s="1090"/>
      <c r="E66" s="1105"/>
      <c r="F66" s="1105"/>
    </row>
    <row r="67" spans="1:6" s="283" customFormat="1">
      <c r="A67" s="1106"/>
      <c r="B67" s="1107"/>
      <c r="C67" s="1108"/>
      <c r="D67" s="1109"/>
      <c r="E67" s="1110"/>
      <c r="F67" s="1110"/>
    </row>
    <row r="68" spans="1:6" s="283" customFormat="1">
      <c r="A68" s="307"/>
      <c r="B68" s="1097" t="s">
        <v>370</v>
      </c>
      <c r="C68" s="994"/>
      <c r="D68" s="1099"/>
      <c r="E68" s="1099"/>
      <c r="F68" s="1099"/>
    </row>
    <row r="69" spans="1:6" s="283" customFormat="1" ht="24">
      <c r="A69" s="307">
        <v>1</v>
      </c>
      <c r="B69" s="49" t="s">
        <v>2766</v>
      </c>
      <c r="C69" s="40" t="s">
        <v>372</v>
      </c>
      <c r="D69" s="1099">
        <v>1</v>
      </c>
      <c r="E69" s="1099">
        <v>220000</v>
      </c>
      <c r="F69" s="1111">
        <f>+E69*D69</f>
        <v>220000</v>
      </c>
    </row>
    <row r="70" spans="1:6" s="283" customFormat="1" ht="24">
      <c r="A70" s="307">
        <v>2</v>
      </c>
      <c r="B70" s="49" t="s">
        <v>2767</v>
      </c>
      <c r="C70" s="40" t="s">
        <v>372</v>
      </c>
      <c r="D70" s="1099">
        <v>4</v>
      </c>
      <c r="E70" s="1099">
        <v>250000</v>
      </c>
      <c r="F70" s="1111">
        <f>+E70*D70</f>
        <v>1000000</v>
      </c>
    </row>
    <row r="71" spans="1:6" s="283" customFormat="1">
      <c r="A71" s="307">
        <v>3</v>
      </c>
      <c r="B71" s="1112" t="s">
        <v>377</v>
      </c>
      <c r="C71" s="40" t="s">
        <v>376</v>
      </c>
      <c r="D71" s="1113">
        <v>4</v>
      </c>
      <c r="E71" s="1113">
        <v>150000</v>
      </c>
      <c r="F71" s="1114">
        <f>+E71*D71</f>
        <v>600000</v>
      </c>
    </row>
    <row r="72" spans="1:6" s="283" customFormat="1" ht="24">
      <c r="A72" s="307">
        <v>4</v>
      </c>
      <c r="B72" s="49" t="s">
        <v>379</v>
      </c>
      <c r="C72" s="49" t="s">
        <v>380</v>
      </c>
      <c r="D72" s="1099"/>
      <c r="E72" s="1115"/>
      <c r="F72" s="1111">
        <v>3000000</v>
      </c>
    </row>
    <row r="73" spans="1:6" s="283" customFormat="1">
      <c r="A73" s="469"/>
      <c r="B73" s="49" t="s">
        <v>374</v>
      </c>
      <c r="C73" s="40"/>
      <c r="D73" s="1099"/>
      <c r="E73" s="1100"/>
      <c r="F73" s="1116">
        <f>SUM(F69:F72)</f>
        <v>4820000</v>
      </c>
    </row>
    <row r="74" spans="1:6" s="283" customFormat="1">
      <c r="A74" s="1106"/>
      <c r="B74" s="1107"/>
      <c r="C74" s="1108"/>
      <c r="D74" s="1109"/>
      <c r="E74" s="1110"/>
      <c r="F74" s="1096"/>
    </row>
    <row r="75" spans="1:6" s="283" customFormat="1">
      <c r="A75" s="307"/>
      <c r="B75" s="1097" t="s">
        <v>2768</v>
      </c>
      <c r="C75" s="994"/>
      <c r="D75" s="1099"/>
      <c r="E75" s="1099"/>
      <c r="F75" s="1099"/>
    </row>
    <row r="76" spans="1:6" s="283" customFormat="1">
      <c r="A76" s="307">
        <v>1</v>
      </c>
      <c r="B76" s="1112" t="s">
        <v>377</v>
      </c>
      <c r="C76" s="40" t="s">
        <v>376</v>
      </c>
      <c r="D76" s="1113">
        <v>4</v>
      </c>
      <c r="E76" s="1113">
        <v>150000</v>
      </c>
      <c r="F76" s="1114">
        <f>+E76*D76</f>
        <v>600000</v>
      </c>
    </row>
    <row r="77" spans="1:6" s="283" customFormat="1">
      <c r="A77" s="307">
        <v>2</v>
      </c>
      <c r="B77" s="49" t="s">
        <v>2766</v>
      </c>
      <c r="C77" s="40" t="s">
        <v>2769</v>
      </c>
      <c r="D77" s="1113">
        <v>1</v>
      </c>
      <c r="E77" s="1113">
        <v>220000</v>
      </c>
      <c r="F77" s="1114">
        <f>+E77*D77</f>
        <v>220000</v>
      </c>
    </row>
    <row r="78" spans="1:6" s="283" customFormat="1">
      <c r="A78" s="307">
        <v>3</v>
      </c>
      <c r="B78" s="49" t="s">
        <v>2767</v>
      </c>
      <c r="C78" s="40" t="s">
        <v>2769</v>
      </c>
      <c r="D78" s="1113">
        <v>4</v>
      </c>
      <c r="E78" s="1113">
        <v>250000</v>
      </c>
      <c r="F78" s="1114">
        <f>+E78*D78</f>
        <v>1000000</v>
      </c>
    </row>
    <row r="79" spans="1:6" s="283" customFormat="1" ht="24">
      <c r="A79" s="307">
        <v>4</v>
      </c>
      <c r="B79" s="49" t="s">
        <v>379</v>
      </c>
      <c r="C79" s="49" t="s">
        <v>380</v>
      </c>
      <c r="D79" s="1099"/>
      <c r="E79" s="1115"/>
      <c r="F79" s="1111">
        <v>3000000</v>
      </c>
    </row>
    <row r="80" spans="1:6" s="283" customFormat="1">
      <c r="A80" s="469"/>
      <c r="B80" s="49" t="s">
        <v>374</v>
      </c>
      <c r="C80" s="40"/>
      <c r="D80" s="1099"/>
      <c r="E80" s="1099"/>
      <c r="F80" s="1116">
        <f>SUM(F76:F79)</f>
        <v>4820000</v>
      </c>
    </row>
    <row r="81" spans="1:6" s="283" customFormat="1">
      <c r="A81" s="284"/>
      <c r="B81" s="1117"/>
      <c r="C81" s="297"/>
      <c r="D81" s="1118"/>
      <c r="E81" s="1105"/>
      <c r="F81" s="1105"/>
    </row>
    <row r="82" spans="1:6" s="283" customFormat="1">
      <c r="A82" s="307"/>
      <c r="B82" s="1097" t="s">
        <v>378</v>
      </c>
      <c r="C82" s="994"/>
      <c r="D82" s="1099"/>
      <c r="E82" s="1099"/>
      <c r="F82" s="1099"/>
    </row>
    <row r="83" spans="1:6" s="283" customFormat="1">
      <c r="A83" s="307">
        <v>1</v>
      </c>
      <c r="B83" s="1112" t="s">
        <v>377</v>
      </c>
      <c r="C83" s="40" t="s">
        <v>376</v>
      </c>
      <c r="D83" s="1099">
        <v>4</v>
      </c>
      <c r="E83" s="1099">
        <v>135000</v>
      </c>
      <c r="F83" s="1100">
        <f>+E83*D83</f>
        <v>540000</v>
      </c>
    </row>
    <row r="84" spans="1:6" s="283" customFormat="1" ht="24">
      <c r="A84" s="307">
        <v>2</v>
      </c>
      <c r="B84" s="49" t="s">
        <v>2767</v>
      </c>
      <c r="C84" s="40" t="s">
        <v>372</v>
      </c>
      <c r="D84" s="1099">
        <v>4</v>
      </c>
      <c r="E84" s="1099">
        <v>250000</v>
      </c>
      <c r="F84" s="1111">
        <f>+E84*D84</f>
        <v>1000000</v>
      </c>
    </row>
    <row r="85" spans="1:6" s="283" customFormat="1" ht="24">
      <c r="A85" s="307">
        <v>3</v>
      </c>
      <c r="B85" s="49" t="s">
        <v>379</v>
      </c>
      <c r="C85" s="49" t="s">
        <v>380</v>
      </c>
      <c r="D85" s="1099"/>
      <c r="E85" s="1115"/>
      <c r="F85" s="1111">
        <v>5000000</v>
      </c>
    </row>
    <row r="86" spans="1:6" s="283" customFormat="1">
      <c r="A86" s="1119"/>
      <c r="B86" s="1120" t="s">
        <v>374</v>
      </c>
      <c r="C86" s="49"/>
      <c r="D86" s="1099"/>
      <c r="E86" s="1115"/>
      <c r="F86" s="1121">
        <f>SUM(F83:F85)</f>
        <v>6540000</v>
      </c>
    </row>
    <row r="87" spans="1:6" s="283" customFormat="1">
      <c r="A87" s="1244" t="s">
        <v>174</v>
      </c>
      <c r="B87" s="1245"/>
      <c r="C87" s="307"/>
      <c r="D87" s="1122"/>
      <c r="E87" s="1123"/>
      <c r="F87" s="1124">
        <f>F73+F80+F86</f>
        <v>16180000</v>
      </c>
    </row>
    <row r="89" spans="1:6" s="283" customFormat="1">
      <c r="A89" s="1091"/>
      <c r="B89" s="1091" t="s">
        <v>2770</v>
      </c>
      <c r="D89" s="1090"/>
      <c r="E89" s="1088"/>
      <c r="F89" s="1088"/>
    </row>
    <row r="90" spans="1:6" s="283" customFormat="1">
      <c r="A90" s="284"/>
      <c r="B90" s="1089"/>
      <c r="D90" s="1090"/>
      <c r="E90" s="1088"/>
      <c r="F90" s="1088"/>
    </row>
    <row r="91" spans="1:6" s="283" customFormat="1" ht="24">
      <c r="A91" s="38" t="s">
        <v>1</v>
      </c>
      <c r="B91" s="1097" t="s">
        <v>2771</v>
      </c>
      <c r="C91" s="38" t="s">
        <v>2772</v>
      </c>
      <c r="D91" s="1098" t="s">
        <v>315</v>
      </c>
      <c r="E91" s="1098" t="s">
        <v>166</v>
      </c>
      <c r="F91" s="1098" t="s">
        <v>316</v>
      </c>
    </row>
    <row r="92" spans="1:6" s="283" customFormat="1">
      <c r="A92" s="994">
        <v>2</v>
      </c>
      <c r="B92" s="49" t="s">
        <v>2773</v>
      </c>
      <c r="C92" s="994" t="s">
        <v>317</v>
      </c>
      <c r="D92" s="1099">
        <v>45</v>
      </c>
      <c r="E92" s="1099">
        <v>3500</v>
      </c>
      <c r="F92" s="1111">
        <f t="shared" ref="F92:F121" si="3">+E92*D92</f>
        <v>157500</v>
      </c>
    </row>
    <row r="93" spans="1:6" s="283" customFormat="1">
      <c r="A93" s="994">
        <v>3</v>
      </c>
      <c r="B93" s="49" t="s">
        <v>2774</v>
      </c>
      <c r="C93" s="994" t="s">
        <v>317</v>
      </c>
      <c r="D93" s="1099">
        <v>200</v>
      </c>
      <c r="E93" s="1099">
        <v>2200</v>
      </c>
      <c r="F93" s="1111">
        <f t="shared" si="3"/>
        <v>440000</v>
      </c>
    </row>
    <row r="94" spans="1:6" s="283" customFormat="1">
      <c r="A94" s="994">
        <v>4</v>
      </c>
      <c r="B94" s="49" t="s">
        <v>2775</v>
      </c>
      <c r="C94" s="994" t="s">
        <v>317</v>
      </c>
      <c r="D94" s="1099">
        <v>3</v>
      </c>
      <c r="E94" s="1099">
        <v>184000</v>
      </c>
      <c r="F94" s="1111">
        <f t="shared" si="3"/>
        <v>552000</v>
      </c>
    </row>
    <row r="95" spans="1:6" s="283" customFormat="1">
      <c r="A95" s="994">
        <v>5</v>
      </c>
      <c r="B95" s="49" t="s">
        <v>318</v>
      </c>
      <c r="C95" s="994" t="s">
        <v>317</v>
      </c>
      <c r="D95" s="1099">
        <v>200</v>
      </c>
      <c r="E95" s="1099">
        <v>350</v>
      </c>
      <c r="F95" s="1111">
        <f t="shared" si="3"/>
        <v>70000</v>
      </c>
    </row>
    <row r="96" spans="1:6" s="283" customFormat="1">
      <c r="A96" s="994">
        <v>6</v>
      </c>
      <c r="B96" s="49" t="s">
        <v>2776</v>
      </c>
      <c r="C96" s="994" t="s">
        <v>317</v>
      </c>
      <c r="D96" s="1099">
        <v>200</v>
      </c>
      <c r="E96" s="1099">
        <v>150</v>
      </c>
      <c r="F96" s="1111">
        <f t="shared" si="3"/>
        <v>30000</v>
      </c>
    </row>
    <row r="97" spans="1:6" s="283" customFormat="1">
      <c r="A97" s="994">
        <v>7</v>
      </c>
      <c r="B97" s="49" t="s">
        <v>2777</v>
      </c>
      <c r="C97" s="994" t="s">
        <v>317</v>
      </c>
      <c r="D97" s="1099">
        <v>50</v>
      </c>
      <c r="E97" s="1099">
        <v>300</v>
      </c>
      <c r="F97" s="1111">
        <f t="shared" si="3"/>
        <v>15000</v>
      </c>
    </row>
    <row r="98" spans="1:6" s="283" customFormat="1">
      <c r="A98" s="994">
        <v>8</v>
      </c>
      <c r="B98" s="49" t="s">
        <v>2778</v>
      </c>
      <c r="C98" s="994" t="s">
        <v>317</v>
      </c>
      <c r="D98" s="1099">
        <v>25</v>
      </c>
      <c r="E98" s="1099">
        <v>700</v>
      </c>
      <c r="F98" s="1111">
        <f t="shared" si="3"/>
        <v>17500</v>
      </c>
    </row>
    <row r="99" spans="1:6" s="283" customFormat="1">
      <c r="A99" s="994">
        <v>9</v>
      </c>
      <c r="B99" s="49" t="s">
        <v>2779</v>
      </c>
      <c r="C99" s="994" t="s">
        <v>319</v>
      </c>
      <c r="D99" s="1099">
        <v>1</v>
      </c>
      <c r="E99" s="1099">
        <v>5000</v>
      </c>
      <c r="F99" s="1111">
        <f t="shared" si="3"/>
        <v>5000</v>
      </c>
    </row>
    <row r="100" spans="1:6" s="283" customFormat="1">
      <c r="A100" s="994">
        <v>10</v>
      </c>
      <c r="B100" s="49" t="s">
        <v>2780</v>
      </c>
      <c r="C100" s="994" t="s">
        <v>319</v>
      </c>
      <c r="D100" s="1099">
        <v>1</v>
      </c>
      <c r="E100" s="1099">
        <v>6000</v>
      </c>
      <c r="F100" s="1111">
        <f t="shared" si="3"/>
        <v>6000</v>
      </c>
    </row>
    <row r="101" spans="1:6" s="283" customFormat="1">
      <c r="A101" s="994">
        <v>11</v>
      </c>
      <c r="B101" s="49" t="s">
        <v>2781</v>
      </c>
      <c r="C101" s="994" t="s">
        <v>319</v>
      </c>
      <c r="D101" s="1099">
        <v>15</v>
      </c>
      <c r="E101" s="1099">
        <v>5000</v>
      </c>
      <c r="F101" s="1111">
        <f t="shared" si="3"/>
        <v>75000</v>
      </c>
    </row>
    <row r="102" spans="1:6" s="283" customFormat="1">
      <c r="A102" s="994">
        <v>12</v>
      </c>
      <c r="B102" s="49" t="s">
        <v>2782</v>
      </c>
      <c r="C102" s="994" t="s">
        <v>319</v>
      </c>
      <c r="D102" s="1099">
        <v>10</v>
      </c>
      <c r="E102" s="1099">
        <v>5000</v>
      </c>
      <c r="F102" s="1111">
        <f t="shared" si="3"/>
        <v>50000</v>
      </c>
    </row>
    <row r="103" spans="1:6" s="283" customFormat="1">
      <c r="A103" s="994">
        <v>13</v>
      </c>
      <c r="B103" s="49" t="s">
        <v>2783</v>
      </c>
      <c r="C103" s="994" t="s">
        <v>317</v>
      </c>
      <c r="D103" s="1099">
        <v>25</v>
      </c>
      <c r="E103" s="1099">
        <v>600</v>
      </c>
      <c r="F103" s="1111">
        <f t="shared" si="3"/>
        <v>15000</v>
      </c>
    </row>
    <row r="104" spans="1:6" s="283" customFormat="1">
      <c r="A104" s="994">
        <v>14</v>
      </c>
      <c r="B104" s="49" t="s">
        <v>2784</v>
      </c>
      <c r="C104" s="994" t="s">
        <v>317</v>
      </c>
      <c r="D104" s="1099">
        <v>2</v>
      </c>
      <c r="E104" s="1099">
        <v>35000</v>
      </c>
      <c r="F104" s="1111">
        <f t="shared" si="3"/>
        <v>70000</v>
      </c>
    </row>
    <row r="105" spans="1:6" s="283" customFormat="1">
      <c r="A105" s="994">
        <v>15</v>
      </c>
      <c r="B105" s="49" t="s">
        <v>2785</v>
      </c>
      <c r="C105" s="994" t="s">
        <v>2786</v>
      </c>
      <c r="D105" s="1099">
        <v>200</v>
      </c>
      <c r="E105" s="1099">
        <v>900</v>
      </c>
      <c r="F105" s="1111">
        <f t="shared" si="3"/>
        <v>180000</v>
      </c>
    </row>
    <row r="106" spans="1:6" s="283" customFormat="1" ht="24">
      <c r="A106" s="994">
        <v>16</v>
      </c>
      <c r="B106" s="49" t="s">
        <v>2787</v>
      </c>
      <c r="C106" s="994" t="s">
        <v>317</v>
      </c>
      <c r="D106" s="1099">
        <v>3</v>
      </c>
      <c r="E106" s="1099">
        <v>32000</v>
      </c>
      <c r="F106" s="1111">
        <f t="shared" si="3"/>
        <v>96000</v>
      </c>
    </row>
    <row r="107" spans="1:6" s="283" customFormat="1">
      <c r="A107" s="994">
        <v>17</v>
      </c>
      <c r="B107" s="49" t="s">
        <v>2788</v>
      </c>
      <c r="C107" s="994" t="s">
        <v>317</v>
      </c>
      <c r="D107" s="1099">
        <v>85</v>
      </c>
      <c r="E107" s="1099">
        <v>1200</v>
      </c>
      <c r="F107" s="1111">
        <f t="shared" si="3"/>
        <v>102000</v>
      </c>
    </row>
    <row r="108" spans="1:6" s="283" customFormat="1">
      <c r="A108" s="994">
        <v>18</v>
      </c>
      <c r="B108" s="49" t="s">
        <v>2789</v>
      </c>
      <c r="C108" s="994" t="s">
        <v>317</v>
      </c>
      <c r="D108" s="1099">
        <v>15</v>
      </c>
      <c r="E108" s="1099">
        <v>2000</v>
      </c>
      <c r="F108" s="1111">
        <f t="shared" si="3"/>
        <v>30000</v>
      </c>
    </row>
    <row r="109" spans="1:6" s="283" customFormat="1">
      <c r="A109" s="994">
        <v>19</v>
      </c>
      <c r="B109" s="49" t="s">
        <v>2790</v>
      </c>
      <c r="C109" s="994" t="s">
        <v>317</v>
      </c>
      <c r="D109" s="1099">
        <v>15</v>
      </c>
      <c r="E109" s="1099">
        <v>3500</v>
      </c>
      <c r="F109" s="1111">
        <f t="shared" si="3"/>
        <v>52500</v>
      </c>
    </row>
    <row r="110" spans="1:6" s="283" customFormat="1">
      <c r="A110" s="994">
        <v>20</v>
      </c>
      <c r="B110" s="49" t="s">
        <v>2791</v>
      </c>
      <c r="C110" s="994" t="s">
        <v>317</v>
      </c>
      <c r="D110" s="1099">
        <v>100</v>
      </c>
      <c r="E110" s="1099">
        <v>18000</v>
      </c>
      <c r="F110" s="1111">
        <f t="shared" si="3"/>
        <v>1800000</v>
      </c>
    </row>
    <row r="111" spans="1:6" s="283" customFormat="1">
      <c r="A111" s="994">
        <v>21</v>
      </c>
      <c r="B111" s="49" t="s">
        <v>2792</v>
      </c>
      <c r="C111" s="994" t="s">
        <v>317</v>
      </c>
      <c r="D111" s="1099">
        <v>100</v>
      </c>
      <c r="E111" s="1099">
        <v>12000</v>
      </c>
      <c r="F111" s="1111">
        <f t="shared" si="3"/>
        <v>1200000</v>
      </c>
    </row>
    <row r="112" spans="1:6" s="283" customFormat="1">
      <c r="A112" s="994">
        <v>22</v>
      </c>
      <c r="B112" s="49" t="s">
        <v>2793</v>
      </c>
      <c r="C112" s="994" t="s">
        <v>317</v>
      </c>
      <c r="D112" s="1099">
        <v>150</v>
      </c>
      <c r="E112" s="1099">
        <v>3000</v>
      </c>
      <c r="F112" s="1111">
        <f t="shared" si="3"/>
        <v>450000</v>
      </c>
    </row>
    <row r="113" spans="1:6" s="283" customFormat="1">
      <c r="A113" s="994">
        <v>23</v>
      </c>
      <c r="B113" s="49" t="s">
        <v>2794</v>
      </c>
      <c r="C113" s="994" t="s">
        <v>317</v>
      </c>
      <c r="D113" s="1099">
        <v>150</v>
      </c>
      <c r="E113" s="1099">
        <v>4500</v>
      </c>
      <c r="F113" s="1111">
        <f t="shared" si="3"/>
        <v>675000</v>
      </c>
    </row>
    <row r="114" spans="1:6" s="283" customFormat="1">
      <c r="A114" s="994">
        <v>24</v>
      </c>
      <c r="B114" s="49" t="s">
        <v>2795</v>
      </c>
      <c r="C114" s="994" t="s">
        <v>317</v>
      </c>
      <c r="D114" s="1099">
        <v>85</v>
      </c>
      <c r="E114" s="1099">
        <v>4000</v>
      </c>
      <c r="F114" s="1111">
        <f t="shared" si="3"/>
        <v>340000</v>
      </c>
    </row>
    <row r="115" spans="1:6" s="283" customFormat="1">
      <c r="A115" s="994">
        <v>25</v>
      </c>
      <c r="B115" s="49" t="s">
        <v>2796</v>
      </c>
      <c r="C115" s="994" t="s">
        <v>317</v>
      </c>
      <c r="D115" s="1099">
        <v>20</v>
      </c>
      <c r="E115" s="1099">
        <v>500</v>
      </c>
      <c r="F115" s="1111">
        <f t="shared" si="3"/>
        <v>10000</v>
      </c>
    </row>
    <row r="116" spans="1:6" s="283" customFormat="1">
      <c r="A116" s="994">
        <v>26</v>
      </c>
      <c r="B116" s="49" t="s">
        <v>2797</v>
      </c>
      <c r="C116" s="994" t="s">
        <v>319</v>
      </c>
      <c r="D116" s="1099">
        <v>10</v>
      </c>
      <c r="E116" s="1099">
        <v>4500</v>
      </c>
      <c r="F116" s="1111">
        <f t="shared" si="3"/>
        <v>45000</v>
      </c>
    </row>
    <row r="117" spans="1:6" s="283" customFormat="1">
      <c r="A117" s="994">
        <v>27</v>
      </c>
      <c r="B117" s="49" t="s">
        <v>320</v>
      </c>
      <c r="C117" s="469" t="s">
        <v>2798</v>
      </c>
      <c r="D117" s="1099">
        <v>30</v>
      </c>
      <c r="E117" s="1099">
        <v>4000</v>
      </c>
      <c r="F117" s="1111">
        <f t="shared" si="3"/>
        <v>120000</v>
      </c>
    </row>
    <row r="118" spans="1:6" s="283" customFormat="1">
      <c r="A118" s="994">
        <v>28</v>
      </c>
      <c r="B118" s="49" t="s">
        <v>321</v>
      </c>
      <c r="C118" s="469" t="s">
        <v>2798</v>
      </c>
      <c r="D118" s="1099">
        <v>20</v>
      </c>
      <c r="E118" s="1099">
        <v>2000</v>
      </c>
      <c r="F118" s="1111">
        <f t="shared" si="3"/>
        <v>40000</v>
      </c>
    </row>
    <row r="119" spans="1:6" s="283" customFormat="1">
      <c r="A119" s="994">
        <v>29</v>
      </c>
      <c r="B119" s="49" t="s">
        <v>2799</v>
      </c>
      <c r="C119" s="469" t="s">
        <v>319</v>
      </c>
      <c r="D119" s="1099">
        <v>3</v>
      </c>
      <c r="E119" s="1099">
        <v>5500</v>
      </c>
      <c r="F119" s="1111">
        <f t="shared" si="3"/>
        <v>16500</v>
      </c>
    </row>
    <row r="120" spans="1:6" s="283" customFormat="1">
      <c r="A120" s="994">
        <v>30</v>
      </c>
      <c r="B120" s="1125" t="s">
        <v>2800</v>
      </c>
      <c r="C120" s="1126" t="s">
        <v>317</v>
      </c>
      <c r="D120" s="1127">
        <v>50</v>
      </c>
      <c r="E120" s="1127">
        <v>7500</v>
      </c>
      <c r="F120" s="1128">
        <f t="shared" si="3"/>
        <v>375000</v>
      </c>
    </row>
    <row r="121" spans="1:6" s="283" customFormat="1">
      <c r="A121" s="994">
        <v>31</v>
      </c>
      <c r="B121" s="1125" t="s">
        <v>2801</v>
      </c>
      <c r="C121" s="1126" t="s">
        <v>317</v>
      </c>
      <c r="D121" s="1127">
        <v>15</v>
      </c>
      <c r="E121" s="1127">
        <v>25000</v>
      </c>
      <c r="F121" s="1128">
        <f t="shared" si="3"/>
        <v>375000</v>
      </c>
    </row>
    <row r="122" spans="1:6" s="283" customFormat="1">
      <c r="A122" s="1244" t="s">
        <v>174</v>
      </c>
      <c r="B122" s="1245"/>
      <c r="C122" s="1129"/>
      <c r="D122" s="1130"/>
      <c r="E122" s="1131"/>
      <c r="F122" s="1132">
        <f>SUM(F92:F121)</f>
        <v>7410000</v>
      </c>
    </row>
    <row r="123" spans="1:6" s="283" customFormat="1">
      <c r="A123" s="284"/>
      <c r="B123" s="1089"/>
      <c r="D123" s="1090"/>
      <c r="E123" s="1088"/>
      <c r="F123" s="1088"/>
    </row>
    <row r="124" spans="1:6" s="1133" customFormat="1">
      <c r="B124" s="1134" t="s">
        <v>2802</v>
      </c>
      <c r="C124" s="1134"/>
      <c r="D124" s="1134"/>
      <c r="E124" s="1134"/>
      <c r="F124" s="1134"/>
    </row>
    <row r="125" spans="1:6" s="1133" customFormat="1">
      <c r="B125" s="1135"/>
      <c r="C125" s="1135"/>
      <c r="D125" s="1135"/>
      <c r="E125" s="1135"/>
      <c r="F125" s="1135"/>
    </row>
    <row r="126" spans="1:6" ht="24">
      <c r="A126" s="993" t="s">
        <v>1</v>
      </c>
      <c r="B126" s="993" t="s">
        <v>635</v>
      </c>
      <c r="C126" s="993" t="s">
        <v>636</v>
      </c>
      <c r="D126" s="1136" t="s">
        <v>315</v>
      </c>
      <c r="E126" s="1136" t="s">
        <v>637</v>
      </c>
      <c r="F126" s="1136" t="s">
        <v>638</v>
      </c>
    </row>
    <row r="127" spans="1:6">
      <c r="A127" s="1138">
        <v>1</v>
      </c>
      <c r="B127" s="1139" t="s">
        <v>639</v>
      </c>
      <c r="C127" s="1139" t="s">
        <v>640</v>
      </c>
      <c r="D127" s="1140">
        <v>3</v>
      </c>
      <c r="E127" s="1141">
        <v>200000</v>
      </c>
      <c r="F127" s="1141">
        <f t="shared" ref="F127:F139" si="4">E127*D127</f>
        <v>600000</v>
      </c>
    </row>
    <row r="128" spans="1:6">
      <c r="A128" s="1138">
        <v>2</v>
      </c>
      <c r="B128" s="1139" t="s">
        <v>318</v>
      </c>
      <c r="C128" s="1139" t="s">
        <v>641</v>
      </c>
      <c r="D128" s="1140">
        <v>1</v>
      </c>
      <c r="E128" s="1141">
        <v>50000</v>
      </c>
      <c r="F128" s="1141">
        <f t="shared" si="4"/>
        <v>50000</v>
      </c>
    </row>
    <row r="129" spans="1:6">
      <c r="A129" s="1138">
        <v>3</v>
      </c>
      <c r="B129" s="1139" t="s">
        <v>642</v>
      </c>
      <c r="C129" s="1139" t="s">
        <v>643</v>
      </c>
      <c r="D129" s="1140">
        <v>1</v>
      </c>
      <c r="E129" s="1141">
        <v>160000</v>
      </c>
      <c r="F129" s="1141">
        <f t="shared" si="4"/>
        <v>160000</v>
      </c>
    </row>
    <row r="130" spans="1:6">
      <c r="A130" s="1138">
        <v>4</v>
      </c>
      <c r="B130" s="1139" t="s">
        <v>644</v>
      </c>
      <c r="C130" s="1139" t="s">
        <v>645</v>
      </c>
      <c r="D130" s="1140">
        <v>30</v>
      </c>
      <c r="E130" s="1141">
        <v>2500</v>
      </c>
      <c r="F130" s="1141">
        <f t="shared" si="4"/>
        <v>75000</v>
      </c>
    </row>
    <row r="131" spans="1:6">
      <c r="A131" s="1138">
        <v>5</v>
      </c>
      <c r="B131" s="1139" t="s">
        <v>646</v>
      </c>
      <c r="C131" s="1139" t="s">
        <v>647</v>
      </c>
      <c r="D131" s="1140">
        <v>2</v>
      </c>
      <c r="E131" s="1141">
        <v>5000</v>
      </c>
      <c r="F131" s="1141">
        <f t="shared" si="4"/>
        <v>10000</v>
      </c>
    </row>
    <row r="132" spans="1:6">
      <c r="A132" s="1138">
        <v>6</v>
      </c>
      <c r="B132" s="1139" t="s">
        <v>2803</v>
      </c>
      <c r="C132" s="1139" t="s">
        <v>2804</v>
      </c>
      <c r="D132" s="1140">
        <v>3</v>
      </c>
      <c r="E132" s="1141">
        <v>65000</v>
      </c>
      <c r="F132" s="1141">
        <f t="shared" si="4"/>
        <v>195000</v>
      </c>
    </row>
    <row r="133" spans="1:6">
      <c r="A133" s="1138">
        <v>7</v>
      </c>
      <c r="B133" s="1139" t="s">
        <v>648</v>
      </c>
      <c r="C133" s="1139" t="s">
        <v>649</v>
      </c>
      <c r="D133" s="1140">
        <v>2</v>
      </c>
      <c r="E133" s="1141">
        <v>3000</v>
      </c>
      <c r="F133" s="1141">
        <f t="shared" si="4"/>
        <v>6000</v>
      </c>
    </row>
    <row r="134" spans="1:6">
      <c r="A134" s="1138">
        <v>8</v>
      </c>
      <c r="B134" s="1139" t="s">
        <v>650</v>
      </c>
      <c r="C134" s="1139" t="s">
        <v>651</v>
      </c>
      <c r="D134" s="1140">
        <v>1</v>
      </c>
      <c r="E134" s="1141">
        <v>300000</v>
      </c>
      <c r="F134" s="1141">
        <f t="shared" si="4"/>
        <v>300000</v>
      </c>
    </row>
    <row r="135" spans="1:6">
      <c r="A135" s="1138">
        <v>9</v>
      </c>
      <c r="B135" s="1139" t="s">
        <v>652</v>
      </c>
      <c r="C135" s="1139" t="s">
        <v>653</v>
      </c>
      <c r="D135" s="1140">
        <v>1</v>
      </c>
      <c r="E135" s="1141">
        <v>15000</v>
      </c>
      <c r="F135" s="1141">
        <f t="shared" si="4"/>
        <v>15000</v>
      </c>
    </row>
    <row r="136" spans="1:6">
      <c r="A136" s="1138">
        <v>10</v>
      </c>
      <c r="B136" s="1142" t="s">
        <v>654</v>
      </c>
      <c r="C136" s="1139" t="s">
        <v>655</v>
      </c>
      <c r="D136" s="1140">
        <v>3</v>
      </c>
      <c r="E136" s="1141">
        <v>350000</v>
      </c>
      <c r="F136" s="1141">
        <f t="shared" si="4"/>
        <v>1050000</v>
      </c>
    </row>
    <row r="137" spans="1:6">
      <c r="A137" s="1138">
        <v>11</v>
      </c>
      <c r="B137" s="1139" t="s">
        <v>656</v>
      </c>
      <c r="C137" s="1139" t="s">
        <v>657</v>
      </c>
      <c r="D137" s="1140">
        <v>1</v>
      </c>
      <c r="E137" s="1141">
        <v>40000</v>
      </c>
      <c r="F137" s="1141">
        <f t="shared" si="4"/>
        <v>40000</v>
      </c>
    </row>
    <row r="138" spans="1:6">
      <c r="A138" s="1138">
        <v>12</v>
      </c>
      <c r="B138" s="1139" t="s">
        <v>658</v>
      </c>
      <c r="C138" s="1139" t="s">
        <v>659</v>
      </c>
      <c r="D138" s="1140">
        <v>1</v>
      </c>
      <c r="E138" s="1141">
        <v>30000</v>
      </c>
      <c r="F138" s="1141">
        <f t="shared" si="4"/>
        <v>30000</v>
      </c>
    </row>
    <row r="139" spans="1:6">
      <c r="A139" s="1138">
        <v>13</v>
      </c>
      <c r="B139" s="1139" t="s">
        <v>660</v>
      </c>
      <c r="C139" s="1139" t="s">
        <v>661</v>
      </c>
      <c r="D139" s="1140">
        <v>1</v>
      </c>
      <c r="E139" s="1141">
        <v>500000</v>
      </c>
      <c r="F139" s="1141">
        <f t="shared" si="4"/>
        <v>500000</v>
      </c>
    </row>
    <row r="140" spans="1:6">
      <c r="A140" s="1143" t="s">
        <v>2805</v>
      </c>
      <c r="B140" s="1143"/>
      <c r="C140" s="1143"/>
      <c r="D140" s="1144"/>
      <c r="E140" s="1143"/>
      <c r="F140" s="1145">
        <f>SUM(F127:F139)</f>
        <v>3031000</v>
      </c>
    </row>
    <row r="152" spans="1:6">
      <c r="A152" s="1246" t="s">
        <v>2806</v>
      </c>
      <c r="B152" s="1246"/>
      <c r="C152" s="1246"/>
      <c r="D152" s="1090"/>
      <c r="E152" s="1088"/>
      <c r="F152" s="1088"/>
    </row>
    <row r="153" spans="1:6">
      <c r="A153" s="284"/>
      <c r="B153" s="1089"/>
      <c r="C153" s="283"/>
      <c r="D153" s="1090"/>
      <c r="E153" s="1088"/>
      <c r="F153" s="1088"/>
    </row>
    <row r="154" spans="1:6">
      <c r="A154" s="284"/>
      <c r="B154" s="1092" t="s">
        <v>306</v>
      </c>
      <c r="C154" s="283"/>
      <c r="D154" s="1090"/>
      <c r="E154" s="1088"/>
      <c r="F154" s="1088"/>
    </row>
    <row r="155" spans="1:6" ht="24">
      <c r="A155" s="38" t="s">
        <v>1</v>
      </c>
      <c r="B155" s="1097" t="s">
        <v>286</v>
      </c>
      <c r="C155" s="38" t="s">
        <v>3</v>
      </c>
      <c r="D155" s="1098" t="s">
        <v>287</v>
      </c>
      <c r="E155" s="1098" t="s">
        <v>166</v>
      </c>
      <c r="F155" s="1098" t="s">
        <v>179</v>
      </c>
    </row>
    <row r="156" spans="1:6" ht="24">
      <c r="A156" s="469">
        <v>1</v>
      </c>
      <c r="B156" s="1149" t="s">
        <v>2807</v>
      </c>
      <c r="C156" s="994" t="s">
        <v>308</v>
      </c>
      <c r="D156" s="1099">
        <v>30</v>
      </c>
      <c r="E156" s="1099">
        <v>332400</v>
      </c>
      <c r="F156" s="1111">
        <f t="shared" ref="F156:F161" si="5">+E156*D156</f>
        <v>9972000</v>
      </c>
    </row>
    <row r="157" spans="1:6" ht="24">
      <c r="A157" s="469">
        <v>2</v>
      </c>
      <c r="B157" s="1149" t="s">
        <v>2808</v>
      </c>
      <c r="C157" s="994" t="s">
        <v>2809</v>
      </c>
      <c r="D157" s="1099">
        <v>40</v>
      </c>
      <c r="E157" s="1099">
        <v>450000</v>
      </c>
      <c r="F157" s="1111">
        <f t="shared" si="5"/>
        <v>18000000</v>
      </c>
    </row>
    <row r="158" spans="1:6" ht="24">
      <c r="A158" s="469">
        <v>3</v>
      </c>
      <c r="B158" s="1149" t="s">
        <v>2810</v>
      </c>
      <c r="C158" s="994" t="s">
        <v>2811</v>
      </c>
      <c r="D158" s="1099">
        <v>50</v>
      </c>
      <c r="E158" s="1099">
        <v>180000</v>
      </c>
      <c r="F158" s="1111">
        <f t="shared" si="5"/>
        <v>9000000</v>
      </c>
    </row>
    <row r="159" spans="1:6" ht="24">
      <c r="A159" s="469">
        <v>4</v>
      </c>
      <c r="B159" s="307" t="s">
        <v>2812</v>
      </c>
      <c r="C159" s="994" t="s">
        <v>308</v>
      </c>
      <c r="D159" s="1099">
        <v>40</v>
      </c>
      <c r="E159" s="1099">
        <v>480000</v>
      </c>
      <c r="F159" s="1111">
        <f t="shared" si="5"/>
        <v>19200000</v>
      </c>
    </row>
    <row r="160" spans="1:6">
      <c r="A160" s="469">
        <v>5</v>
      </c>
      <c r="B160" s="49" t="s">
        <v>2813</v>
      </c>
      <c r="C160" s="469" t="s">
        <v>2814</v>
      </c>
      <c r="D160" s="1099">
        <v>2</v>
      </c>
      <c r="E160" s="1099">
        <v>250000</v>
      </c>
      <c r="F160" s="1111">
        <f t="shared" si="5"/>
        <v>500000</v>
      </c>
    </row>
    <row r="161" spans="1:7" ht="24">
      <c r="A161" s="469">
        <v>6</v>
      </c>
      <c r="B161" s="49" t="s">
        <v>314</v>
      </c>
      <c r="C161" s="469" t="s">
        <v>2814</v>
      </c>
      <c r="D161" s="1099">
        <v>6</v>
      </c>
      <c r="E161" s="1099">
        <v>1250000</v>
      </c>
      <c r="F161" s="1111">
        <f t="shared" si="5"/>
        <v>7500000</v>
      </c>
    </row>
    <row r="162" spans="1:7">
      <c r="A162" s="469"/>
      <c r="B162" s="1150" t="s">
        <v>174</v>
      </c>
      <c r="C162" s="1151"/>
      <c r="D162" s="1127"/>
      <c r="E162" s="1127"/>
      <c r="F162" s="1152">
        <f>SUM(F156:F161)</f>
        <v>64172000</v>
      </c>
    </row>
    <row r="163" spans="1:7">
      <c r="A163" s="1106"/>
      <c r="B163" s="1093"/>
      <c r="C163" s="1153"/>
      <c r="D163" s="1109"/>
      <c r="E163" s="1109"/>
      <c r="F163" s="1109"/>
    </row>
    <row r="164" spans="1:7">
      <c r="A164" s="1247" t="s">
        <v>2815</v>
      </c>
      <c r="B164" s="1247"/>
      <c r="C164" s="1154"/>
      <c r="D164" s="1090"/>
      <c r="E164" s="1088"/>
      <c r="F164" s="1088"/>
    </row>
    <row r="165" spans="1:7" ht="24">
      <c r="A165" s="38" t="s">
        <v>2816</v>
      </c>
      <c r="B165" s="1097" t="s">
        <v>286</v>
      </c>
      <c r="C165" s="38" t="s">
        <v>3</v>
      </c>
      <c r="D165" s="1098" t="s">
        <v>287</v>
      </c>
      <c r="E165" s="1098" t="s">
        <v>166</v>
      </c>
      <c r="F165" s="1098" t="s">
        <v>179</v>
      </c>
    </row>
    <row r="166" spans="1:7" ht="36">
      <c r="A166" s="994">
        <v>1</v>
      </c>
      <c r="B166" s="49" t="s">
        <v>2817</v>
      </c>
      <c r="C166" s="994" t="s">
        <v>2818</v>
      </c>
      <c r="D166" s="1122">
        <v>1</v>
      </c>
      <c r="E166" s="1122">
        <v>1350000</v>
      </c>
      <c r="F166" s="1155">
        <f>D166*E166</f>
        <v>1350000</v>
      </c>
    </row>
    <row r="167" spans="1:7" ht="24">
      <c r="A167" s="994">
        <v>2</v>
      </c>
      <c r="B167" s="1156" t="s">
        <v>2819</v>
      </c>
      <c r="C167" s="1151" t="s">
        <v>2820</v>
      </c>
      <c r="D167" s="1122">
        <v>4</v>
      </c>
      <c r="E167" s="1123">
        <v>2600000</v>
      </c>
      <c r="F167" s="1155">
        <f>D167*E167</f>
        <v>10400000</v>
      </c>
    </row>
    <row r="168" spans="1:7" ht="36">
      <c r="A168" s="994">
        <v>3</v>
      </c>
      <c r="B168" s="1156" t="s">
        <v>2821</v>
      </c>
      <c r="C168" s="1151" t="s">
        <v>2822</v>
      </c>
      <c r="D168" s="1122">
        <v>4</v>
      </c>
      <c r="E168" s="1123">
        <v>2800000</v>
      </c>
      <c r="F168" s="1155">
        <f>D168*E168</f>
        <v>11200000</v>
      </c>
    </row>
    <row r="169" spans="1:7" ht="24">
      <c r="A169" s="994">
        <v>4</v>
      </c>
      <c r="B169" s="1149" t="s">
        <v>2823</v>
      </c>
      <c r="C169" s="994" t="s">
        <v>2824</v>
      </c>
      <c r="D169" s="1122">
        <v>6</v>
      </c>
      <c r="E169" s="1122">
        <v>1500000</v>
      </c>
      <c r="F169" s="1155">
        <f t="shared" ref="F169:F171" si="6">D169*E169</f>
        <v>9000000</v>
      </c>
    </row>
    <row r="170" spans="1:7" s="1159" customFormat="1" ht="25.5">
      <c r="A170" s="994">
        <v>5</v>
      </c>
      <c r="B170" s="463" t="s">
        <v>2825</v>
      </c>
      <c r="C170" s="463" t="s">
        <v>2826</v>
      </c>
      <c r="D170" s="462">
        <v>2</v>
      </c>
      <c r="E170" s="1157">
        <v>400000</v>
      </c>
      <c r="F170" s="1155">
        <f t="shared" si="6"/>
        <v>800000</v>
      </c>
      <c r="G170" s="1158"/>
    </row>
    <row r="171" spans="1:7">
      <c r="A171" s="994">
        <v>6</v>
      </c>
      <c r="B171" s="1160" t="s">
        <v>2827</v>
      </c>
      <c r="C171" s="994"/>
      <c r="D171" s="1122">
        <v>4</v>
      </c>
      <c r="E171" s="1122">
        <v>850000</v>
      </c>
      <c r="F171" s="1155">
        <f t="shared" si="6"/>
        <v>3400000</v>
      </c>
    </row>
    <row r="172" spans="1:7">
      <c r="A172" s="994">
        <v>7</v>
      </c>
      <c r="B172" s="1160" t="s">
        <v>2828</v>
      </c>
      <c r="C172" s="994"/>
      <c r="D172" s="1122">
        <v>1</v>
      </c>
      <c r="E172" s="1122">
        <v>7300000</v>
      </c>
      <c r="F172" s="1155">
        <f>D172*E172</f>
        <v>7300000</v>
      </c>
    </row>
    <row r="173" spans="1:7">
      <c r="A173" s="1138"/>
      <c r="B173" s="1150" t="s">
        <v>174</v>
      </c>
      <c r="C173" s="1139"/>
      <c r="D173" s="1140"/>
      <c r="E173" s="1141"/>
      <c r="F173" s="1161">
        <f>SUM(F166:F172)</f>
        <v>43450000</v>
      </c>
    </row>
    <row r="175" spans="1:7" s="283" customFormat="1">
      <c r="A175" s="1091" t="s">
        <v>2829</v>
      </c>
      <c r="B175" s="1091"/>
      <c r="D175" s="1090"/>
      <c r="E175" s="1088"/>
      <c r="F175" s="1088"/>
    </row>
    <row r="176" spans="1:7" s="283" customFormat="1">
      <c r="A176" s="284"/>
      <c r="B176" s="1089"/>
      <c r="D176" s="1090"/>
      <c r="E176" s="1088"/>
      <c r="F176" s="1088"/>
    </row>
    <row r="177" spans="1:6" s="283" customFormat="1" ht="24">
      <c r="A177" s="38" t="s">
        <v>1</v>
      </c>
      <c r="B177" s="1097" t="s">
        <v>325</v>
      </c>
      <c r="C177" s="38" t="s">
        <v>326</v>
      </c>
      <c r="D177" s="1098" t="s">
        <v>327</v>
      </c>
      <c r="E177" s="1098" t="s">
        <v>166</v>
      </c>
      <c r="F177" s="1098" t="s">
        <v>328</v>
      </c>
    </row>
    <row r="178" spans="1:6" s="283" customFormat="1" ht="60">
      <c r="A178" s="994">
        <v>1</v>
      </c>
      <c r="B178" s="49" t="s">
        <v>2830</v>
      </c>
      <c r="C178" s="994" t="s">
        <v>317</v>
      </c>
      <c r="D178" s="1099">
        <v>80</v>
      </c>
      <c r="E178" s="1099">
        <v>80000</v>
      </c>
      <c r="F178" s="1099">
        <f t="shared" ref="F178" si="7">+E178*D178</f>
        <v>6400000</v>
      </c>
    </row>
    <row r="179" spans="1:6" s="283" customFormat="1">
      <c r="A179" s="42"/>
      <c r="B179" s="1101" t="s">
        <v>174</v>
      </c>
      <c r="C179" s="42"/>
      <c r="D179" s="1098"/>
      <c r="E179" s="1098"/>
      <c r="F179" s="1098">
        <f>SUM(F178)</f>
        <v>6400000</v>
      </c>
    </row>
    <row r="180" spans="1:6" s="283" customFormat="1">
      <c r="A180" s="1102"/>
      <c r="B180" s="1103"/>
      <c r="C180" s="1102"/>
      <c r="D180" s="1104"/>
      <c r="E180" s="1104"/>
      <c r="F180" s="1104"/>
    </row>
    <row r="181" spans="1:6" s="283" customFormat="1">
      <c r="A181" s="1102"/>
      <c r="B181" s="1103"/>
      <c r="C181" s="1102"/>
      <c r="D181" s="1104"/>
      <c r="E181" s="1104"/>
      <c r="F181" s="1104"/>
    </row>
    <row r="182" spans="1:6" s="283" customFormat="1">
      <c r="A182" s="1102"/>
      <c r="B182" s="1103"/>
      <c r="C182" s="1102"/>
      <c r="D182" s="1104"/>
      <c r="E182" s="1104"/>
      <c r="F182" s="1104"/>
    </row>
    <row r="183" spans="1:6" s="283" customFormat="1">
      <c r="A183" s="1102"/>
      <c r="B183" s="1103"/>
      <c r="C183" s="1102"/>
      <c r="D183" s="1104"/>
      <c r="E183" s="1104"/>
      <c r="F183" s="1104"/>
    </row>
    <row r="184" spans="1:6" s="283" customFormat="1">
      <c r="A184" s="1102"/>
      <c r="B184" s="1103"/>
      <c r="C184" s="1102"/>
      <c r="D184" s="1104"/>
      <c r="E184" s="1104"/>
      <c r="F184" s="1104"/>
    </row>
    <row r="185" spans="1:6" s="283" customFormat="1">
      <c r="A185" s="1102"/>
      <c r="B185" s="1103"/>
      <c r="C185" s="1102"/>
      <c r="D185" s="1104"/>
      <c r="E185" s="1104"/>
      <c r="F185" s="1104"/>
    </row>
    <row r="186" spans="1:6" s="283" customFormat="1">
      <c r="A186" s="1102"/>
      <c r="B186" s="1103"/>
      <c r="C186" s="1102"/>
      <c r="D186" s="1104"/>
      <c r="E186" s="1104"/>
      <c r="F186" s="1104"/>
    </row>
    <row r="187" spans="1:6" s="283" customFormat="1">
      <c r="A187" s="1102"/>
      <c r="B187" s="1103"/>
      <c r="C187" s="1102"/>
      <c r="D187" s="1104"/>
      <c r="E187" s="1104"/>
      <c r="F187" s="1104"/>
    </row>
    <row r="188" spans="1:6" s="283" customFormat="1">
      <c r="A188" s="1102"/>
      <c r="B188" s="1103"/>
      <c r="C188" s="1102"/>
      <c r="D188" s="1104"/>
      <c r="E188" s="1104"/>
      <c r="F188" s="1104"/>
    </row>
    <row r="189" spans="1:6" s="283" customFormat="1">
      <c r="A189" s="1102"/>
      <c r="B189" s="1103"/>
      <c r="C189" s="1102"/>
      <c r="D189" s="1104"/>
      <c r="E189" s="1104"/>
      <c r="F189" s="1104"/>
    </row>
    <row r="190" spans="1:6" s="283" customFormat="1">
      <c r="A190" s="1102"/>
      <c r="B190" s="1103"/>
      <c r="C190" s="1102"/>
      <c r="D190" s="1104"/>
      <c r="E190" s="1104"/>
      <c r="F190" s="1104"/>
    </row>
    <row r="191" spans="1:6" s="283" customFormat="1">
      <c r="A191" s="1102"/>
      <c r="B191" s="1103"/>
      <c r="C191" s="1102"/>
      <c r="D191" s="1104"/>
      <c r="E191" s="1104"/>
      <c r="F191" s="1104"/>
    </row>
    <row r="192" spans="1:6" s="283" customFormat="1">
      <c r="A192" s="1102"/>
      <c r="B192" s="1103"/>
      <c r="C192" s="1102"/>
      <c r="D192" s="1104"/>
      <c r="E192" s="1104"/>
      <c r="F192" s="1104"/>
    </row>
    <row r="193" spans="1:8" s="283" customFormat="1" ht="14.25" customHeight="1">
      <c r="A193" s="1102"/>
      <c r="B193" s="1103"/>
      <c r="C193" s="1102"/>
      <c r="D193" s="1104"/>
      <c r="E193" s="1104"/>
      <c r="F193" s="1104"/>
    </row>
    <row r="194" spans="1:8" s="283" customFormat="1" ht="15" customHeight="1">
      <c r="A194" s="1248" t="s">
        <v>2831</v>
      </c>
      <c r="B194" s="1248"/>
      <c r="C194" s="1248"/>
      <c r="D194" s="1109"/>
      <c r="E194" s="1095"/>
      <c r="F194" s="1104"/>
    </row>
    <row r="195" spans="1:8" s="283" customFormat="1">
      <c r="A195" s="1162"/>
      <c r="B195" s="1163"/>
      <c r="C195" s="1153"/>
      <c r="D195" s="1109"/>
      <c r="E195" s="1095"/>
      <c r="F195" s="1104"/>
    </row>
    <row r="196" spans="1:8" s="283" customFormat="1" ht="26.25" customHeight="1">
      <c r="A196" s="38" t="s">
        <v>1</v>
      </c>
      <c r="B196" s="1164" t="s">
        <v>322</v>
      </c>
      <c r="C196" s="38" t="s">
        <v>2772</v>
      </c>
      <c r="D196" s="1098" t="s">
        <v>315</v>
      </c>
      <c r="E196" s="1098" t="s">
        <v>166</v>
      </c>
      <c r="F196" s="1098" t="s">
        <v>316</v>
      </c>
      <c r="G196" s="1089"/>
      <c r="H196" s="1089"/>
    </row>
    <row r="197" spans="1:8" s="283" customFormat="1" ht="21" customHeight="1">
      <c r="A197" s="38">
        <v>1</v>
      </c>
      <c r="B197" s="1149" t="s">
        <v>2832</v>
      </c>
      <c r="C197" s="994" t="s">
        <v>2833</v>
      </c>
      <c r="D197" s="1122">
        <v>4</v>
      </c>
      <c r="E197" s="1165">
        <v>80000</v>
      </c>
      <c r="F197" s="1111">
        <f>+E197*D197</f>
        <v>320000</v>
      </c>
      <c r="G197" s="1089"/>
      <c r="H197" s="1089"/>
    </row>
    <row r="198" spans="1:8" s="283" customFormat="1" ht="21" customHeight="1">
      <c r="A198" s="38">
        <v>2</v>
      </c>
      <c r="B198" s="1149" t="s">
        <v>2834</v>
      </c>
      <c r="C198" s="307" t="s">
        <v>2835</v>
      </c>
      <c r="D198" s="1122">
        <v>60</v>
      </c>
      <c r="E198" s="1165">
        <v>18000</v>
      </c>
      <c r="F198" s="1111">
        <f>+E198*D198</f>
        <v>1080000</v>
      </c>
      <c r="G198" s="1089"/>
      <c r="H198" s="1089"/>
    </row>
    <row r="199" spans="1:8" s="283" customFormat="1" ht="21" customHeight="1">
      <c r="A199" s="38">
        <v>3</v>
      </c>
      <c r="B199" s="1149" t="s">
        <v>2836</v>
      </c>
      <c r="C199" s="994" t="s">
        <v>2833</v>
      </c>
      <c r="D199" s="1122">
        <v>2</v>
      </c>
      <c r="E199" s="1165">
        <v>250000</v>
      </c>
      <c r="F199" s="1111">
        <f>+E199*D199</f>
        <v>500000</v>
      </c>
      <c r="G199" s="1089"/>
      <c r="H199" s="1089"/>
    </row>
    <row r="200" spans="1:8" s="283" customFormat="1" ht="21" customHeight="1">
      <c r="A200" s="38">
        <v>4</v>
      </c>
      <c r="B200" s="1149" t="s">
        <v>2837</v>
      </c>
      <c r="C200" s="994" t="s">
        <v>2838</v>
      </c>
      <c r="D200" s="1122">
        <v>2</v>
      </c>
      <c r="E200" s="1165">
        <v>180000</v>
      </c>
      <c r="F200" s="1111">
        <f>+E200*D200</f>
        <v>360000</v>
      </c>
      <c r="G200" s="1089"/>
      <c r="H200" s="1089"/>
    </row>
    <row r="201" spans="1:8" s="283" customFormat="1" ht="21" customHeight="1">
      <c r="A201" s="38"/>
      <c r="B201" s="1101" t="s">
        <v>174</v>
      </c>
      <c r="C201" s="1166"/>
      <c r="D201" s="1122"/>
      <c r="E201" s="1165"/>
      <c r="F201" s="1167">
        <f>SUM(F197:F200)</f>
        <v>2260000</v>
      </c>
      <c r="G201" s="1089"/>
      <c r="H201" s="1089"/>
    </row>
    <row r="202" spans="1:8" s="283" customFormat="1">
      <c r="A202" s="1162"/>
      <c r="B202" s="1103"/>
      <c r="C202" s="1168"/>
      <c r="D202" s="1095"/>
      <c r="E202" s="1169"/>
      <c r="F202" s="1170"/>
      <c r="G202" s="1089"/>
      <c r="H202" s="1089"/>
    </row>
    <row r="203" spans="1:8" s="283" customFormat="1">
      <c r="A203" s="1162"/>
      <c r="B203" s="1103"/>
      <c r="C203" s="1168"/>
      <c r="D203" s="1095"/>
      <c r="E203" s="1169"/>
      <c r="F203" s="1170"/>
      <c r="G203" s="1089"/>
      <c r="H203" s="1089"/>
    </row>
    <row r="204" spans="1:8" s="283" customFormat="1">
      <c r="A204" s="1162"/>
      <c r="B204" s="1103"/>
      <c r="C204" s="1168"/>
      <c r="D204" s="1095"/>
      <c r="E204" s="1169"/>
      <c r="F204" s="1170"/>
      <c r="G204" s="1089"/>
      <c r="H204" s="1089"/>
    </row>
    <row r="205" spans="1:8" s="283" customFormat="1">
      <c r="A205" s="1162"/>
      <c r="B205" s="1103"/>
      <c r="C205" s="1168"/>
      <c r="D205" s="1095"/>
      <c r="E205" s="1169"/>
      <c r="F205" s="1170"/>
      <c r="G205" s="1089"/>
      <c r="H205" s="1089"/>
    </row>
    <row r="206" spans="1:8" s="283" customFormat="1">
      <c r="A206" s="1162"/>
      <c r="B206" s="1103"/>
      <c r="C206" s="1168"/>
      <c r="D206" s="1095"/>
      <c r="E206" s="1169"/>
      <c r="F206" s="1170"/>
      <c r="G206" s="1089"/>
      <c r="H206" s="1089"/>
    </row>
    <row r="207" spans="1:8" s="283" customFormat="1">
      <c r="A207" s="1162"/>
      <c r="B207" s="1103"/>
      <c r="C207" s="1168"/>
      <c r="D207" s="1095"/>
      <c r="E207" s="1169"/>
      <c r="F207" s="1170"/>
      <c r="G207" s="1089"/>
      <c r="H207" s="1089"/>
    </row>
    <row r="208" spans="1:8" s="283" customFormat="1">
      <c r="A208" s="1162"/>
      <c r="B208" s="1103"/>
      <c r="C208" s="1168"/>
      <c r="D208" s="1095"/>
      <c r="E208" s="1169"/>
      <c r="F208" s="1170"/>
      <c r="G208" s="1089"/>
      <c r="H208" s="1089"/>
    </row>
    <row r="209" spans="1:8" s="283" customFormat="1">
      <c r="A209" s="1162"/>
      <c r="B209" s="1103"/>
      <c r="C209" s="1168"/>
      <c r="D209" s="1095"/>
      <c r="E209" s="1169"/>
      <c r="F209" s="1170"/>
      <c r="G209" s="1089"/>
      <c r="H209" s="1089"/>
    </row>
    <row r="210" spans="1:8" s="283" customFormat="1">
      <c r="A210" s="1162"/>
      <c r="B210" s="1103"/>
      <c r="C210" s="1168"/>
      <c r="D210" s="1095"/>
      <c r="E210" s="1169"/>
      <c r="F210" s="1170"/>
      <c r="G210" s="1089"/>
      <c r="H210" s="1089"/>
    </row>
    <row r="211" spans="1:8" s="283" customFormat="1">
      <c r="A211" s="1162"/>
      <c r="B211" s="1103"/>
      <c r="C211" s="1168"/>
      <c r="D211" s="1095"/>
      <c r="E211" s="1169"/>
      <c r="F211" s="1170"/>
      <c r="G211" s="1089"/>
      <c r="H211" s="1089"/>
    </row>
    <row r="212" spans="1:8" s="283" customFormat="1">
      <c r="A212" s="1162"/>
      <c r="B212" s="1103"/>
      <c r="C212" s="1168"/>
      <c r="D212" s="1095"/>
      <c r="E212" s="1169"/>
      <c r="F212" s="1170"/>
      <c r="G212" s="1089"/>
      <c r="H212" s="1089"/>
    </row>
    <row r="213" spans="1:8" s="283" customFormat="1">
      <c r="A213" s="1162"/>
      <c r="B213" s="1103"/>
      <c r="C213" s="1168"/>
      <c r="D213" s="1095"/>
      <c r="E213" s="1169"/>
      <c r="F213" s="1170"/>
      <c r="G213" s="1089"/>
      <c r="H213" s="1089"/>
    </row>
    <row r="214" spans="1:8" s="283" customFormat="1">
      <c r="A214" s="1162"/>
      <c r="B214" s="1103"/>
      <c r="C214" s="1168"/>
      <c r="D214" s="1095"/>
      <c r="E214" s="1169"/>
      <c r="F214" s="1170"/>
      <c r="G214" s="1089"/>
      <c r="H214" s="1089"/>
    </row>
    <row r="215" spans="1:8" s="283" customFormat="1">
      <c r="A215" s="1162"/>
      <c r="B215" s="1103"/>
      <c r="C215" s="1168"/>
      <c r="D215" s="1095"/>
      <c r="E215" s="1169"/>
      <c r="F215" s="1170"/>
      <c r="G215" s="1089"/>
      <c r="H215" s="1089"/>
    </row>
    <row r="216" spans="1:8" s="283" customFormat="1">
      <c r="A216" s="1162"/>
      <c r="B216" s="1103"/>
      <c r="C216" s="1168"/>
      <c r="D216" s="1095"/>
      <c r="E216" s="1169"/>
      <c r="F216" s="1170"/>
      <c r="G216" s="1089"/>
      <c r="H216" s="1089"/>
    </row>
    <row r="217" spans="1:8" s="283" customFormat="1">
      <c r="A217" s="1162"/>
      <c r="B217" s="1103"/>
      <c r="C217" s="1168"/>
      <c r="D217" s="1095"/>
      <c r="E217" s="1169"/>
      <c r="F217" s="1170"/>
      <c r="G217" s="1089"/>
      <c r="H217" s="1089"/>
    </row>
    <row r="218" spans="1:8" s="283" customFormat="1">
      <c r="A218" s="1162"/>
      <c r="B218" s="1103"/>
      <c r="C218" s="1168"/>
      <c r="D218" s="1095"/>
      <c r="E218" s="1169"/>
      <c r="F218" s="1170"/>
      <c r="G218" s="1089"/>
      <c r="H218" s="1089"/>
    </row>
    <row r="219" spans="1:8" s="283" customFormat="1">
      <c r="A219" s="1162"/>
      <c r="B219" s="1103"/>
      <c r="C219" s="1168"/>
      <c r="D219" s="1095"/>
      <c r="E219" s="1169"/>
      <c r="F219" s="1170"/>
      <c r="G219" s="1089"/>
      <c r="H219" s="1089"/>
    </row>
    <row r="220" spans="1:8" s="283" customFormat="1">
      <c r="A220" s="1162"/>
      <c r="B220" s="1103"/>
      <c r="C220" s="1168"/>
      <c r="D220" s="1095"/>
      <c r="E220" s="1169"/>
      <c r="F220" s="1170"/>
      <c r="G220" s="1089"/>
      <c r="H220" s="1089"/>
    </row>
    <row r="221" spans="1:8" s="283" customFormat="1">
      <c r="A221" s="1162"/>
      <c r="B221" s="1103"/>
      <c r="C221" s="1168"/>
      <c r="D221" s="1095"/>
      <c r="E221" s="1169"/>
      <c r="F221" s="1170"/>
      <c r="G221" s="1089"/>
      <c r="H221" s="1089"/>
    </row>
    <row r="222" spans="1:8" s="283" customFormat="1">
      <c r="A222" s="1162"/>
      <c r="B222" s="1103"/>
      <c r="C222" s="1168"/>
      <c r="D222" s="1095"/>
      <c r="E222" s="1169"/>
      <c r="F222" s="1170"/>
      <c r="G222" s="1089"/>
      <c r="H222" s="1089"/>
    </row>
    <row r="223" spans="1:8" s="283" customFormat="1">
      <c r="A223" s="1162"/>
      <c r="B223" s="1103"/>
      <c r="C223" s="1168"/>
      <c r="D223" s="1095"/>
      <c r="E223" s="1169"/>
      <c r="F223" s="1170"/>
      <c r="G223" s="1089"/>
      <c r="H223" s="1089"/>
    </row>
    <row r="224" spans="1:8" s="283" customFormat="1">
      <c r="A224" s="1162"/>
      <c r="B224" s="1103"/>
      <c r="C224" s="1168"/>
      <c r="D224" s="1095"/>
      <c r="E224" s="1169"/>
      <c r="F224" s="1170"/>
      <c r="G224" s="1089"/>
      <c r="H224" s="1089"/>
    </row>
    <row r="225" spans="1:8" s="283" customFormat="1">
      <c r="A225" s="1162"/>
      <c r="B225" s="1103"/>
      <c r="C225" s="1168"/>
      <c r="D225" s="1095"/>
      <c r="E225" s="1169"/>
      <c r="F225" s="1170"/>
      <c r="G225" s="1089"/>
      <c r="H225" s="1089"/>
    </row>
    <row r="226" spans="1:8" s="283" customFormat="1">
      <c r="A226" s="1162"/>
      <c r="B226" s="1103"/>
      <c r="C226" s="1168"/>
      <c r="D226" s="1095"/>
      <c r="E226" s="1169"/>
      <c r="F226" s="1170"/>
      <c r="G226" s="1089"/>
      <c r="H226" s="1089"/>
    </row>
    <row r="227" spans="1:8" s="283" customFormat="1">
      <c r="A227" s="1162"/>
      <c r="B227" s="1103"/>
      <c r="C227" s="1168"/>
      <c r="D227" s="1095"/>
      <c r="E227" s="1169"/>
      <c r="F227" s="1170"/>
      <c r="G227" s="1089"/>
      <c r="H227" s="1089"/>
    </row>
    <row r="228" spans="1:8" s="283" customFormat="1">
      <c r="A228" s="1162"/>
      <c r="B228" s="1103"/>
      <c r="C228" s="1168"/>
      <c r="D228" s="1095"/>
      <c r="E228" s="1169"/>
      <c r="F228" s="1170"/>
      <c r="G228" s="1089"/>
      <c r="H228" s="1089"/>
    </row>
    <row r="229" spans="1:8" s="283" customFormat="1">
      <c r="A229" s="1162"/>
      <c r="B229" s="1103"/>
      <c r="C229" s="1168"/>
      <c r="D229" s="1095"/>
      <c r="E229" s="1169"/>
      <c r="F229" s="1170"/>
      <c r="G229" s="1089"/>
      <c r="H229" s="1089"/>
    </row>
    <row r="230" spans="1:8" s="283" customFormat="1">
      <c r="A230" s="1162"/>
      <c r="B230" s="1103"/>
      <c r="C230" s="1168"/>
      <c r="D230" s="1095"/>
      <c r="E230" s="1169"/>
      <c r="F230" s="1170"/>
      <c r="G230" s="1089"/>
      <c r="H230" s="1089"/>
    </row>
    <row r="231" spans="1:8" s="283" customFormat="1">
      <c r="A231" s="1162"/>
      <c r="B231" s="1103"/>
      <c r="C231" s="1168"/>
      <c r="D231" s="1095"/>
      <c r="E231" s="1169"/>
      <c r="F231" s="1170"/>
      <c r="G231" s="1089"/>
      <c r="H231" s="1089"/>
    </row>
    <row r="232" spans="1:8" s="283" customFormat="1">
      <c r="A232" s="1162"/>
      <c r="B232" s="1103"/>
      <c r="C232" s="1168"/>
      <c r="D232" s="1095"/>
      <c r="E232" s="1169"/>
      <c r="F232" s="1170"/>
      <c r="G232" s="1089"/>
      <c r="H232" s="1089"/>
    </row>
    <row r="233" spans="1:8" s="283" customFormat="1">
      <c r="A233" s="1162"/>
      <c r="B233" s="1103"/>
      <c r="C233" s="1168"/>
      <c r="D233" s="1095"/>
      <c r="E233" s="1169"/>
      <c r="F233" s="1170"/>
      <c r="G233" s="1089"/>
      <c r="H233" s="1089"/>
    </row>
    <row r="234" spans="1:8" s="283" customFormat="1">
      <c r="A234" s="1162"/>
      <c r="B234" s="1103"/>
      <c r="C234" s="1168"/>
      <c r="D234" s="1095"/>
      <c r="E234" s="1169"/>
      <c r="F234" s="1170"/>
      <c r="G234" s="1089"/>
      <c r="H234" s="1089"/>
    </row>
    <row r="235" spans="1:8" s="283" customFormat="1">
      <c r="A235" s="1162"/>
      <c r="B235" s="1103"/>
      <c r="C235" s="1168"/>
      <c r="D235" s="1095"/>
      <c r="E235" s="1169"/>
      <c r="F235" s="1170"/>
      <c r="G235" s="1089"/>
      <c r="H235" s="1089"/>
    </row>
    <row r="236" spans="1:8" s="283" customFormat="1">
      <c r="A236" s="1162"/>
      <c r="B236" s="1103"/>
      <c r="C236" s="1168"/>
      <c r="D236" s="1095"/>
      <c r="E236" s="1169"/>
      <c r="F236" s="1170"/>
      <c r="G236" s="1089"/>
      <c r="H236" s="1089"/>
    </row>
    <row r="237" spans="1:8" s="283" customFormat="1">
      <c r="A237" s="1162"/>
      <c r="B237" s="1103"/>
      <c r="C237" s="1168"/>
      <c r="D237" s="1095"/>
      <c r="E237" s="1169"/>
      <c r="F237" s="1170"/>
      <c r="G237" s="1089"/>
      <c r="H237" s="1089"/>
    </row>
    <row r="238" spans="1:8" s="283" customFormat="1">
      <c r="A238" s="1162"/>
      <c r="B238" s="1103"/>
      <c r="C238" s="1168"/>
      <c r="D238" s="1095"/>
      <c r="E238" s="1169"/>
      <c r="F238" s="1170"/>
      <c r="G238" s="1089"/>
      <c r="H238" s="1089"/>
    </row>
    <row r="239" spans="1:8" s="283" customFormat="1">
      <c r="A239" s="1162"/>
      <c r="B239" s="1103"/>
      <c r="C239" s="1168"/>
      <c r="D239" s="1095"/>
      <c r="E239" s="1169"/>
      <c r="F239" s="1170"/>
      <c r="G239" s="1089"/>
      <c r="H239" s="1089"/>
    </row>
    <row r="240" spans="1:8" s="283" customFormat="1">
      <c r="A240" s="1162"/>
      <c r="B240" s="1103"/>
      <c r="C240" s="1168"/>
      <c r="D240" s="1095"/>
      <c r="E240" s="1169"/>
      <c r="F240" s="1170"/>
      <c r="G240" s="1089"/>
      <c r="H240" s="1089"/>
    </row>
    <row r="241" spans="1:8" s="283" customFormat="1">
      <c r="A241" s="1162"/>
      <c r="B241" s="1103"/>
      <c r="C241" s="1168"/>
      <c r="D241" s="1095"/>
      <c r="E241" s="1169"/>
      <c r="F241" s="1170"/>
      <c r="G241" s="1089"/>
      <c r="H241" s="1089"/>
    </row>
    <row r="242" spans="1:8" s="283" customFormat="1">
      <c r="A242" s="1162"/>
      <c r="B242" s="1103"/>
      <c r="C242" s="1168"/>
      <c r="D242" s="1095"/>
      <c r="E242" s="1169"/>
      <c r="F242" s="1170"/>
      <c r="G242" s="1089"/>
      <c r="H242" s="1089"/>
    </row>
    <row r="243" spans="1:8" s="283" customFormat="1">
      <c r="A243" s="1162"/>
      <c r="B243" s="1103"/>
      <c r="C243" s="1168"/>
      <c r="D243" s="1095"/>
      <c r="E243" s="1169"/>
      <c r="F243" s="1170"/>
      <c r="G243" s="1089"/>
      <c r="H243" s="1089"/>
    </row>
    <row r="244" spans="1:8" s="283" customFormat="1">
      <c r="A244" s="1162"/>
      <c r="B244" s="1103"/>
      <c r="C244" s="1168"/>
      <c r="D244" s="1095"/>
      <c r="E244" s="1169"/>
      <c r="F244" s="1170"/>
      <c r="G244" s="1089"/>
      <c r="H244" s="1089"/>
    </row>
    <row r="245" spans="1:8" s="283" customFormat="1">
      <c r="A245" s="1162"/>
      <c r="B245" s="1103"/>
      <c r="C245" s="1168"/>
      <c r="D245" s="1095"/>
      <c r="E245" s="1169"/>
      <c r="F245" s="1170"/>
      <c r="G245" s="1089"/>
      <c r="H245" s="1089"/>
    </row>
    <row r="246" spans="1:8" s="283" customFormat="1">
      <c r="A246" s="1162"/>
      <c r="B246" s="1103"/>
      <c r="C246" s="1168"/>
      <c r="D246" s="1095"/>
      <c r="E246" s="1169"/>
      <c r="F246" s="1170"/>
      <c r="G246" s="1089"/>
      <c r="H246" s="1089"/>
    </row>
    <row r="247" spans="1:8" s="283" customFormat="1">
      <c r="A247" s="1162"/>
      <c r="B247" s="1103"/>
      <c r="C247" s="1168"/>
      <c r="D247" s="1095"/>
      <c r="E247" s="1169"/>
      <c r="F247" s="1170"/>
      <c r="G247" s="1089"/>
      <c r="H247" s="1089"/>
    </row>
    <row r="248" spans="1:8" s="283" customFormat="1">
      <c r="A248" s="1162"/>
      <c r="B248" s="1103"/>
      <c r="C248" s="1168"/>
      <c r="D248" s="1095"/>
      <c r="E248" s="1169"/>
      <c r="F248" s="1170"/>
      <c r="G248" s="1089"/>
      <c r="H248" s="1089"/>
    </row>
    <row r="249" spans="1:8" s="283" customFormat="1">
      <c r="A249" s="1162"/>
      <c r="B249" s="1103"/>
      <c r="C249" s="1168"/>
      <c r="D249" s="1095"/>
      <c r="E249" s="1169"/>
      <c r="F249" s="1170"/>
      <c r="G249" s="1089"/>
      <c r="H249" s="1089"/>
    </row>
    <row r="250" spans="1:8" s="283" customFormat="1">
      <c r="A250" s="1162"/>
      <c r="B250" s="1103"/>
      <c r="C250" s="1168"/>
      <c r="D250" s="1095"/>
      <c r="E250" s="1169"/>
      <c r="F250" s="1170"/>
      <c r="G250" s="1089"/>
      <c r="H250" s="1089"/>
    </row>
    <row r="251" spans="1:8" s="283" customFormat="1">
      <c r="A251" s="1162"/>
      <c r="B251" s="1103"/>
      <c r="C251" s="1168"/>
      <c r="D251" s="1095"/>
      <c r="E251" s="1169"/>
      <c r="F251" s="1170"/>
      <c r="G251" s="1089"/>
      <c r="H251" s="1089"/>
    </row>
    <row r="252" spans="1:8">
      <c r="A252" s="1249" t="s">
        <v>2839</v>
      </c>
      <c r="B252" s="1249"/>
      <c r="C252" s="1249"/>
    </row>
    <row r="254" spans="1:8" s="283" customFormat="1" ht="28.5" customHeight="1">
      <c r="A254" s="38" t="s">
        <v>1</v>
      </c>
      <c r="B254" s="1097" t="s">
        <v>2771</v>
      </c>
      <c r="C254" s="38" t="s">
        <v>2772</v>
      </c>
      <c r="D254" s="1098" t="s">
        <v>315</v>
      </c>
      <c r="E254" s="1098" t="s">
        <v>166</v>
      </c>
      <c r="F254" s="1098" t="s">
        <v>316</v>
      </c>
    </row>
    <row r="255" spans="1:8" s="283" customFormat="1" ht="16.5" customHeight="1">
      <c r="A255" s="994">
        <v>1</v>
      </c>
      <c r="B255" s="49" t="s">
        <v>2840</v>
      </c>
      <c r="C255" s="469" t="s">
        <v>407</v>
      </c>
      <c r="D255" s="1099">
        <v>4</v>
      </c>
      <c r="E255" s="1099">
        <v>240000</v>
      </c>
      <c r="F255" s="1141">
        <f t="shared" ref="F255:F258" si="8">E255*D255</f>
        <v>960000</v>
      </c>
    </row>
    <row r="256" spans="1:8" s="283" customFormat="1" ht="16.5" customHeight="1">
      <c r="A256" s="994">
        <v>2</v>
      </c>
      <c r="B256" s="49" t="s">
        <v>2841</v>
      </c>
      <c r="C256" s="469" t="s">
        <v>407</v>
      </c>
      <c r="D256" s="1099">
        <v>4</v>
      </c>
      <c r="E256" s="1099">
        <v>150000</v>
      </c>
      <c r="F256" s="1141">
        <f t="shared" si="8"/>
        <v>600000</v>
      </c>
    </row>
    <row r="257" spans="1:6" s="283" customFormat="1" ht="24">
      <c r="A257" s="994">
        <v>3</v>
      </c>
      <c r="B257" s="49" t="s">
        <v>2842</v>
      </c>
      <c r="C257" s="469" t="s">
        <v>407</v>
      </c>
      <c r="D257" s="1099">
        <v>2</v>
      </c>
      <c r="E257" s="1099">
        <v>2500000</v>
      </c>
      <c r="F257" s="1141">
        <f t="shared" si="8"/>
        <v>5000000</v>
      </c>
    </row>
    <row r="258" spans="1:6" s="283" customFormat="1" ht="24">
      <c r="A258" s="994">
        <v>4</v>
      </c>
      <c r="B258" s="49" t="s">
        <v>2843</v>
      </c>
      <c r="C258" s="469" t="s">
        <v>407</v>
      </c>
      <c r="D258" s="1099">
        <v>2</v>
      </c>
      <c r="E258" s="1099">
        <v>2500000</v>
      </c>
      <c r="F258" s="1141">
        <f t="shared" si="8"/>
        <v>5000000</v>
      </c>
    </row>
    <row r="259" spans="1:6">
      <c r="A259" s="1143" t="s">
        <v>2805</v>
      </c>
      <c r="B259" s="1143"/>
      <c r="C259" s="1143"/>
      <c r="D259" s="1144"/>
      <c r="E259" s="1143"/>
      <c r="F259" s="1145">
        <f>SUM(F255:F258)</f>
        <v>11560000</v>
      </c>
    </row>
    <row r="260" spans="1:6" s="283" customFormat="1">
      <c r="A260" s="1153"/>
      <c r="B260" s="1107"/>
      <c r="C260" s="1106"/>
      <c r="D260" s="1109"/>
      <c r="E260" s="1109"/>
      <c r="F260" s="1171"/>
    </row>
    <row r="261" spans="1:6" s="283" customFormat="1">
      <c r="A261" s="1153"/>
      <c r="B261" s="1107"/>
      <c r="C261" s="1106"/>
      <c r="D261" s="1109"/>
      <c r="E261" s="1109"/>
      <c r="F261" s="1171"/>
    </row>
    <row r="262" spans="1:6" s="283" customFormat="1">
      <c r="A262" s="1153"/>
      <c r="B262" s="1107"/>
      <c r="C262" s="1106"/>
      <c r="D262" s="1109"/>
      <c r="E262" s="1109"/>
      <c r="F262" s="1171"/>
    </row>
    <row r="263" spans="1:6" s="283" customFormat="1">
      <c r="A263" s="1153"/>
      <c r="B263" s="1107"/>
      <c r="C263" s="1106"/>
      <c r="D263" s="1109"/>
      <c r="E263" s="1109"/>
      <c r="F263" s="1171"/>
    </row>
    <row r="264" spans="1:6" s="283" customFormat="1">
      <c r="A264" s="1153"/>
      <c r="B264" s="1107"/>
      <c r="C264" s="1106"/>
      <c r="D264" s="1109"/>
      <c r="E264" s="1109"/>
      <c r="F264" s="1171"/>
    </row>
    <row r="265" spans="1:6" s="283" customFormat="1">
      <c r="A265" s="1153"/>
      <c r="B265" s="1107"/>
      <c r="C265" s="1106"/>
      <c r="D265" s="1109"/>
      <c r="E265" s="1109"/>
      <c r="F265" s="1171"/>
    </row>
    <row r="266" spans="1:6" s="283" customFormat="1">
      <c r="A266" s="1153"/>
      <c r="B266" s="1107"/>
      <c r="C266" s="1106"/>
      <c r="D266" s="1109"/>
      <c r="E266" s="1109"/>
      <c r="F266" s="1171"/>
    </row>
    <row r="267" spans="1:6" s="283" customFormat="1">
      <c r="A267" s="1153"/>
      <c r="B267" s="1107"/>
      <c r="C267" s="1106"/>
      <c r="D267" s="1109"/>
      <c r="E267" s="1109"/>
      <c r="F267" s="1171"/>
    </row>
    <row r="268" spans="1:6" s="283" customFormat="1">
      <c r="A268" s="1153"/>
      <c r="B268" s="1107"/>
      <c r="C268" s="1106"/>
      <c r="D268" s="1109"/>
      <c r="E268" s="1109"/>
      <c r="F268" s="1171"/>
    </row>
    <row r="269" spans="1:6" s="283" customFormat="1">
      <c r="A269" s="1153"/>
      <c r="B269" s="1107"/>
      <c r="C269" s="1106"/>
      <c r="D269" s="1109"/>
      <c r="E269" s="1109"/>
      <c r="F269" s="1171"/>
    </row>
    <row r="270" spans="1:6" s="283" customFormat="1">
      <c r="A270" s="1153"/>
      <c r="B270" s="1107"/>
      <c r="C270" s="1106"/>
      <c r="D270" s="1109"/>
      <c r="E270" s="1109"/>
      <c r="F270" s="1171"/>
    </row>
    <row r="271" spans="1:6" s="283" customFormat="1">
      <c r="A271" s="1153"/>
      <c r="B271" s="1107"/>
      <c r="C271" s="1106"/>
      <c r="D271" s="1109"/>
      <c r="E271" s="1109"/>
      <c r="F271" s="1171"/>
    </row>
    <row r="272" spans="1:6" s="283" customFormat="1">
      <c r="A272" s="1153"/>
      <c r="B272" s="1107"/>
      <c r="C272" s="1106"/>
      <c r="D272" s="1109"/>
      <c r="E272" s="1109"/>
      <c r="F272" s="1171"/>
    </row>
    <row r="273" spans="1:6" s="283" customFormat="1">
      <c r="A273" s="1153"/>
      <c r="B273" s="1107"/>
      <c r="C273" s="1106"/>
      <c r="D273" s="1109"/>
      <c r="E273" s="1109"/>
      <c r="F273" s="1171"/>
    </row>
    <row r="274" spans="1:6" s="283" customFormat="1">
      <c r="A274" s="1153"/>
      <c r="B274" s="1107"/>
      <c r="C274" s="1106"/>
      <c r="D274" s="1109"/>
      <c r="E274" s="1109"/>
      <c r="F274" s="1171"/>
    </row>
    <row r="275" spans="1:6" s="283" customFormat="1">
      <c r="A275" s="1153"/>
      <c r="B275" s="1107"/>
      <c r="C275" s="1106"/>
      <c r="D275" s="1109"/>
      <c r="E275" s="1109"/>
      <c r="F275" s="1171"/>
    </row>
    <row r="276" spans="1:6" s="283" customFormat="1">
      <c r="A276" s="1153"/>
      <c r="B276" s="1107"/>
      <c r="C276" s="1106"/>
      <c r="D276" s="1109"/>
      <c r="E276" s="1109"/>
      <c r="F276" s="1171"/>
    </row>
    <row r="277" spans="1:6" s="283" customFormat="1">
      <c r="A277" s="1153"/>
      <c r="B277" s="1107"/>
      <c r="C277" s="1106"/>
      <c r="D277" s="1109"/>
      <c r="E277" s="1109"/>
      <c r="F277" s="1171"/>
    </row>
    <row r="278" spans="1:6" s="283" customFormat="1">
      <c r="A278" s="1153"/>
      <c r="B278" s="1107"/>
      <c r="C278" s="1106"/>
      <c r="D278" s="1109"/>
      <c r="E278" s="1109"/>
      <c r="F278" s="1171"/>
    </row>
    <row r="279" spans="1:6" s="283" customFormat="1">
      <c r="A279" s="1153"/>
      <c r="B279" s="1107"/>
      <c r="C279" s="1106"/>
      <c r="D279" s="1109"/>
      <c r="E279" s="1109"/>
      <c r="F279" s="1171"/>
    </row>
    <row r="280" spans="1:6" s="283" customFormat="1">
      <c r="A280" s="1153"/>
      <c r="B280" s="1107"/>
      <c r="C280" s="1106"/>
      <c r="D280" s="1109"/>
      <c r="E280" s="1109"/>
      <c r="F280" s="1171"/>
    </row>
    <row r="281" spans="1:6" s="283" customFormat="1">
      <c r="A281" s="1153"/>
      <c r="B281" s="1107"/>
      <c r="C281" s="1106"/>
      <c r="D281" s="1109"/>
      <c r="E281" s="1109"/>
      <c r="F281" s="1171"/>
    </row>
    <row r="282" spans="1:6" s="283" customFormat="1">
      <c r="A282" s="1153"/>
      <c r="B282" s="1107"/>
      <c r="C282" s="1106"/>
      <c r="D282" s="1109"/>
      <c r="E282" s="1109"/>
      <c r="F282" s="1171"/>
    </row>
    <row r="283" spans="1:6" s="283" customFormat="1">
      <c r="A283" s="1153"/>
      <c r="B283" s="1107"/>
      <c r="C283" s="1106"/>
      <c r="D283" s="1109"/>
      <c r="E283" s="1109"/>
      <c r="F283" s="1171"/>
    </row>
    <row r="284" spans="1:6" s="283" customFormat="1">
      <c r="A284" s="1153"/>
      <c r="B284" s="1107"/>
      <c r="C284" s="1106"/>
      <c r="D284" s="1109"/>
      <c r="E284" s="1109"/>
      <c r="F284" s="1171"/>
    </row>
    <row r="285" spans="1:6" s="283" customFormat="1">
      <c r="A285" s="1153"/>
      <c r="B285" s="1107"/>
      <c r="C285" s="1106"/>
      <c r="D285" s="1109"/>
      <c r="E285" s="1109"/>
      <c r="F285" s="1171"/>
    </row>
    <row r="286" spans="1:6" s="283" customFormat="1">
      <c r="A286" s="1153"/>
      <c r="B286" s="1107"/>
      <c r="C286" s="1106"/>
      <c r="D286" s="1109"/>
      <c r="E286" s="1109"/>
      <c r="F286" s="1171"/>
    </row>
    <row r="287" spans="1:6" s="283" customFormat="1">
      <c r="A287" s="1153"/>
      <c r="B287" s="1107"/>
      <c r="C287" s="1106"/>
      <c r="D287" s="1109"/>
      <c r="E287" s="1109"/>
      <c r="F287" s="1171"/>
    </row>
    <row r="288" spans="1:6" s="283" customFormat="1">
      <c r="A288" s="1153"/>
      <c r="B288" s="1107"/>
      <c r="C288" s="1106"/>
      <c r="D288" s="1109"/>
      <c r="E288" s="1109"/>
      <c r="F288" s="1171"/>
    </row>
    <row r="289" spans="1:6" s="283" customFormat="1">
      <c r="A289" s="1153"/>
      <c r="B289" s="1107"/>
      <c r="C289" s="1106"/>
      <c r="D289" s="1109"/>
      <c r="E289" s="1109"/>
      <c r="F289" s="1171"/>
    </row>
    <row r="290" spans="1:6" s="283" customFormat="1">
      <c r="A290" s="1153"/>
      <c r="B290" s="1107"/>
      <c r="C290" s="1106"/>
      <c r="D290" s="1109"/>
      <c r="E290" s="1109"/>
      <c r="F290" s="1171"/>
    </row>
    <row r="291" spans="1:6" s="283" customFormat="1">
      <c r="A291" s="1153"/>
      <c r="B291" s="1107"/>
      <c r="C291" s="1106"/>
      <c r="D291" s="1109"/>
      <c r="E291" s="1109"/>
      <c r="F291" s="1171"/>
    </row>
    <row r="292" spans="1:6" s="283" customFormat="1">
      <c r="A292" s="1153"/>
      <c r="B292" s="1107"/>
      <c r="C292" s="1106"/>
      <c r="D292" s="1109"/>
      <c r="E292" s="1109"/>
      <c r="F292" s="1171"/>
    </row>
    <row r="293" spans="1:6" s="283" customFormat="1">
      <c r="A293" s="1153"/>
      <c r="B293" s="1107"/>
      <c r="C293" s="1106"/>
      <c r="D293" s="1109"/>
      <c r="E293" s="1109"/>
      <c r="F293" s="1171"/>
    </row>
    <row r="294" spans="1:6" s="283" customFormat="1">
      <c r="A294" s="1153"/>
      <c r="B294" s="1107"/>
      <c r="C294" s="1106"/>
      <c r="D294" s="1109"/>
      <c r="E294" s="1109"/>
      <c r="F294" s="1171"/>
    </row>
    <row r="295" spans="1:6" s="283" customFormat="1">
      <c r="A295" s="1153"/>
      <c r="B295" s="1107"/>
      <c r="C295" s="1106"/>
      <c r="D295" s="1109"/>
      <c r="E295" s="1109"/>
      <c r="F295" s="1171"/>
    </row>
    <row r="296" spans="1:6" s="283" customFormat="1">
      <c r="A296" s="1153"/>
      <c r="B296" s="1107"/>
      <c r="C296" s="1106"/>
      <c r="D296" s="1109"/>
      <c r="E296" s="1109"/>
      <c r="F296" s="1171"/>
    </row>
    <row r="297" spans="1:6">
      <c r="A297" s="1249" t="s">
        <v>2844</v>
      </c>
      <c r="B297" s="1249"/>
      <c r="C297" s="1249"/>
    </row>
    <row r="299" spans="1:6" s="283" customFormat="1" ht="24">
      <c r="A299" s="38" t="s">
        <v>1</v>
      </c>
      <c r="B299" s="1097" t="s">
        <v>2771</v>
      </c>
      <c r="C299" s="38" t="s">
        <v>2772</v>
      </c>
      <c r="D299" s="1098" t="s">
        <v>315</v>
      </c>
      <c r="E299" s="1098" t="s">
        <v>166</v>
      </c>
      <c r="F299" s="1098" t="s">
        <v>316</v>
      </c>
    </row>
    <row r="300" spans="1:6">
      <c r="A300" s="994">
        <v>1</v>
      </c>
      <c r="B300" s="1149" t="s">
        <v>2845</v>
      </c>
      <c r="C300" s="469" t="s">
        <v>407</v>
      </c>
      <c r="D300" s="1122">
        <v>60</v>
      </c>
      <c r="E300" s="1155">
        <v>3090</v>
      </c>
      <c r="F300" s="1141">
        <f t="shared" ref="F300:F331" si="9">E300*D300</f>
        <v>185400</v>
      </c>
    </row>
    <row r="301" spans="1:6">
      <c r="A301" s="994">
        <v>2</v>
      </c>
      <c r="B301" s="1149" t="s">
        <v>2846</v>
      </c>
      <c r="C301" s="469" t="s">
        <v>407</v>
      </c>
      <c r="D301" s="1122">
        <v>72</v>
      </c>
      <c r="E301" s="1155">
        <v>5590</v>
      </c>
      <c r="F301" s="1141">
        <f t="shared" si="9"/>
        <v>402480</v>
      </c>
    </row>
    <row r="302" spans="1:6">
      <c r="A302" s="994">
        <v>3</v>
      </c>
      <c r="B302" s="1149" t="s">
        <v>2847</v>
      </c>
      <c r="C302" s="469" t="s">
        <v>407</v>
      </c>
      <c r="D302" s="1122">
        <v>72</v>
      </c>
      <c r="E302" s="1155">
        <v>7500</v>
      </c>
      <c r="F302" s="1141">
        <f t="shared" si="9"/>
        <v>540000</v>
      </c>
    </row>
    <row r="303" spans="1:6">
      <c r="A303" s="994">
        <v>4</v>
      </c>
      <c r="B303" s="1149" t="s">
        <v>2847</v>
      </c>
      <c r="C303" s="469" t="s">
        <v>407</v>
      </c>
      <c r="D303" s="1122">
        <v>6</v>
      </c>
      <c r="E303" s="1155">
        <v>18700</v>
      </c>
      <c r="F303" s="1141">
        <f t="shared" si="9"/>
        <v>112200</v>
      </c>
    </row>
    <row r="304" spans="1:6">
      <c r="A304" s="994">
        <v>5</v>
      </c>
      <c r="B304" s="1149" t="s">
        <v>2848</v>
      </c>
      <c r="C304" s="469" t="s">
        <v>407</v>
      </c>
      <c r="D304" s="1122">
        <v>36</v>
      </c>
      <c r="E304" s="1155">
        <v>5000</v>
      </c>
      <c r="F304" s="1141">
        <f t="shared" si="9"/>
        <v>180000</v>
      </c>
    </row>
    <row r="305" spans="1:6">
      <c r="A305" s="994">
        <v>6</v>
      </c>
      <c r="B305" s="1149" t="s">
        <v>2849</v>
      </c>
      <c r="C305" s="469" t="s">
        <v>407</v>
      </c>
      <c r="D305" s="1122">
        <v>4</v>
      </c>
      <c r="E305" s="1155">
        <v>24300</v>
      </c>
      <c r="F305" s="1141">
        <f t="shared" si="9"/>
        <v>97200</v>
      </c>
    </row>
    <row r="306" spans="1:6">
      <c r="A306" s="994">
        <v>7</v>
      </c>
      <c r="B306" s="1149" t="s">
        <v>2850</v>
      </c>
      <c r="C306" s="469" t="s">
        <v>407</v>
      </c>
      <c r="D306" s="1122">
        <v>100</v>
      </c>
      <c r="E306" s="1155">
        <v>800</v>
      </c>
      <c r="F306" s="1141">
        <f t="shared" si="9"/>
        <v>80000</v>
      </c>
    </row>
    <row r="307" spans="1:6">
      <c r="A307" s="994">
        <v>8</v>
      </c>
      <c r="B307" s="1149" t="s">
        <v>2851</v>
      </c>
      <c r="C307" s="469" t="s">
        <v>407</v>
      </c>
      <c r="D307" s="1122">
        <v>50</v>
      </c>
      <c r="E307" s="1155">
        <v>750</v>
      </c>
      <c r="F307" s="1141">
        <f t="shared" si="9"/>
        <v>37500</v>
      </c>
    </row>
    <row r="308" spans="1:6">
      <c r="A308" s="994">
        <v>9</v>
      </c>
      <c r="B308" s="1149" t="s">
        <v>2852</v>
      </c>
      <c r="C308" s="469" t="s">
        <v>407</v>
      </c>
      <c r="D308" s="1122">
        <v>72</v>
      </c>
      <c r="E308" s="1155">
        <v>2800</v>
      </c>
      <c r="F308" s="1141">
        <f t="shared" si="9"/>
        <v>201600</v>
      </c>
    </row>
    <row r="309" spans="1:6">
      <c r="A309" s="994">
        <v>10</v>
      </c>
      <c r="B309" s="1149" t="s">
        <v>2853</v>
      </c>
      <c r="C309" s="469" t="s">
        <v>407</v>
      </c>
      <c r="D309" s="1122">
        <v>72</v>
      </c>
      <c r="E309" s="1155">
        <v>7500</v>
      </c>
      <c r="F309" s="1141">
        <f t="shared" si="9"/>
        <v>540000</v>
      </c>
    </row>
    <row r="310" spans="1:6">
      <c r="A310" s="994">
        <v>11</v>
      </c>
      <c r="B310" s="1149" t="s">
        <v>2854</v>
      </c>
      <c r="C310" s="469" t="s">
        <v>407</v>
      </c>
      <c r="D310" s="1122">
        <v>48</v>
      </c>
      <c r="E310" s="1155">
        <v>4250</v>
      </c>
      <c r="F310" s="1141">
        <f t="shared" si="9"/>
        <v>204000</v>
      </c>
    </row>
    <row r="311" spans="1:6">
      <c r="A311" s="994">
        <v>12</v>
      </c>
      <c r="B311" s="1149" t="s">
        <v>2855</v>
      </c>
      <c r="C311" s="469" t="s">
        <v>407</v>
      </c>
      <c r="D311" s="1122">
        <v>96</v>
      </c>
      <c r="E311" s="1155">
        <v>1600</v>
      </c>
      <c r="F311" s="1141">
        <f t="shared" si="9"/>
        <v>153600</v>
      </c>
    </row>
    <row r="312" spans="1:6">
      <c r="A312" s="994">
        <v>13</v>
      </c>
      <c r="B312" s="1149" t="s">
        <v>2856</v>
      </c>
      <c r="C312" s="469" t="s">
        <v>407</v>
      </c>
      <c r="D312" s="1122">
        <v>96</v>
      </c>
      <c r="E312" s="1155">
        <v>3500</v>
      </c>
      <c r="F312" s="1141">
        <f t="shared" si="9"/>
        <v>336000</v>
      </c>
    </row>
    <row r="313" spans="1:6">
      <c r="A313" s="994">
        <v>14</v>
      </c>
      <c r="B313" s="1149" t="s">
        <v>2857</v>
      </c>
      <c r="C313" s="469" t="s">
        <v>407</v>
      </c>
      <c r="D313" s="1122">
        <v>120</v>
      </c>
      <c r="E313" s="1155">
        <v>4500</v>
      </c>
      <c r="F313" s="1141">
        <f t="shared" si="9"/>
        <v>540000</v>
      </c>
    </row>
    <row r="314" spans="1:6">
      <c r="A314" s="994">
        <v>15</v>
      </c>
      <c r="B314" s="1149" t="s">
        <v>2858</v>
      </c>
      <c r="C314" s="469" t="s">
        <v>407</v>
      </c>
      <c r="D314" s="1122">
        <v>72</v>
      </c>
      <c r="E314" s="1155">
        <v>5200</v>
      </c>
      <c r="F314" s="1141">
        <f t="shared" si="9"/>
        <v>374400</v>
      </c>
    </row>
    <row r="315" spans="1:6">
      <c r="A315" s="994">
        <v>16</v>
      </c>
      <c r="B315" s="1149" t="s">
        <v>2859</v>
      </c>
      <c r="C315" s="469" t="s">
        <v>407</v>
      </c>
      <c r="D315" s="1122">
        <v>96</v>
      </c>
      <c r="E315" s="1155">
        <v>4000</v>
      </c>
      <c r="F315" s="1141">
        <f t="shared" si="9"/>
        <v>384000</v>
      </c>
    </row>
    <row r="316" spans="1:6">
      <c r="A316" s="994">
        <v>17</v>
      </c>
      <c r="B316" s="1149" t="s">
        <v>2860</v>
      </c>
      <c r="C316" s="469" t="s">
        <v>407</v>
      </c>
      <c r="D316" s="1122">
        <v>50</v>
      </c>
      <c r="E316" s="1155">
        <v>500</v>
      </c>
      <c r="F316" s="1141">
        <f t="shared" si="9"/>
        <v>25000</v>
      </c>
    </row>
    <row r="317" spans="1:6">
      <c r="A317" s="994">
        <v>18</v>
      </c>
      <c r="B317" s="1149" t="s">
        <v>2861</v>
      </c>
      <c r="C317" s="469" t="s">
        <v>407</v>
      </c>
      <c r="D317" s="1122">
        <v>100</v>
      </c>
      <c r="E317" s="1155">
        <v>2000</v>
      </c>
      <c r="F317" s="1141">
        <f t="shared" si="9"/>
        <v>200000</v>
      </c>
    </row>
    <row r="318" spans="1:6">
      <c r="A318" s="994">
        <v>19</v>
      </c>
      <c r="B318" s="1149" t="s">
        <v>2862</v>
      </c>
      <c r="C318" s="469" t="s">
        <v>407</v>
      </c>
      <c r="D318" s="1122">
        <v>72</v>
      </c>
      <c r="E318" s="1155">
        <v>3500</v>
      </c>
      <c r="F318" s="1141">
        <f t="shared" si="9"/>
        <v>252000</v>
      </c>
    </row>
    <row r="319" spans="1:6">
      <c r="A319" s="994">
        <v>20</v>
      </c>
      <c r="B319" s="1149" t="s">
        <v>2863</v>
      </c>
      <c r="C319" s="469" t="s">
        <v>407</v>
      </c>
      <c r="D319" s="1122">
        <v>12</v>
      </c>
      <c r="E319" s="1155">
        <v>22500</v>
      </c>
      <c r="F319" s="1141">
        <f t="shared" si="9"/>
        <v>270000</v>
      </c>
    </row>
    <row r="320" spans="1:6">
      <c r="A320" s="994">
        <v>21</v>
      </c>
      <c r="B320" s="1149" t="s">
        <v>2864</v>
      </c>
      <c r="C320" s="469" t="s">
        <v>407</v>
      </c>
      <c r="D320" s="1122">
        <v>24</v>
      </c>
      <c r="E320" s="1155">
        <v>27300</v>
      </c>
      <c r="F320" s="1141">
        <f t="shared" si="9"/>
        <v>655200</v>
      </c>
    </row>
    <row r="321" spans="1:6">
      <c r="A321" s="994">
        <v>22</v>
      </c>
      <c r="B321" s="1149" t="s">
        <v>2865</v>
      </c>
      <c r="C321" s="469" t="s">
        <v>534</v>
      </c>
      <c r="D321" s="1122">
        <v>72</v>
      </c>
      <c r="E321" s="1155">
        <v>30000</v>
      </c>
      <c r="F321" s="1141">
        <f t="shared" si="9"/>
        <v>2160000</v>
      </c>
    </row>
    <row r="322" spans="1:6">
      <c r="A322" s="994">
        <v>23</v>
      </c>
      <c r="B322" s="1149" t="s">
        <v>2866</v>
      </c>
      <c r="C322" s="469" t="s">
        <v>407</v>
      </c>
      <c r="D322" s="1122">
        <v>8</v>
      </c>
      <c r="E322" s="1155">
        <v>15000</v>
      </c>
      <c r="F322" s="1141">
        <f t="shared" si="9"/>
        <v>120000</v>
      </c>
    </row>
    <row r="323" spans="1:6">
      <c r="A323" s="994">
        <v>24</v>
      </c>
      <c r="B323" s="1149" t="s">
        <v>2867</v>
      </c>
      <c r="C323" s="469" t="s">
        <v>407</v>
      </c>
      <c r="D323" s="1122">
        <v>72</v>
      </c>
      <c r="E323" s="1155">
        <v>2500</v>
      </c>
      <c r="F323" s="1141">
        <f t="shared" si="9"/>
        <v>180000</v>
      </c>
    </row>
    <row r="324" spans="1:6">
      <c r="A324" s="994">
        <v>25</v>
      </c>
      <c r="B324" s="1149" t="s">
        <v>2868</v>
      </c>
      <c r="C324" s="469" t="s">
        <v>407</v>
      </c>
      <c r="D324" s="1122">
        <v>72</v>
      </c>
      <c r="E324" s="1155">
        <v>4000</v>
      </c>
      <c r="F324" s="1141">
        <f t="shared" si="9"/>
        <v>288000</v>
      </c>
    </row>
    <row r="325" spans="1:6">
      <c r="A325" s="994">
        <v>26</v>
      </c>
      <c r="B325" s="1149" t="s">
        <v>2869</v>
      </c>
      <c r="C325" s="469" t="s">
        <v>2870</v>
      </c>
      <c r="D325" s="1122">
        <v>240</v>
      </c>
      <c r="E325" s="1155">
        <v>2800</v>
      </c>
      <c r="F325" s="1141">
        <f t="shared" si="9"/>
        <v>672000</v>
      </c>
    </row>
    <row r="326" spans="1:6">
      <c r="A326" s="994">
        <v>27</v>
      </c>
      <c r="B326" s="1149" t="s">
        <v>2871</v>
      </c>
      <c r="C326" s="469" t="s">
        <v>407</v>
      </c>
      <c r="D326" s="1122">
        <v>12</v>
      </c>
      <c r="E326" s="1155">
        <v>18000</v>
      </c>
      <c r="F326" s="1141">
        <f t="shared" si="9"/>
        <v>216000</v>
      </c>
    </row>
    <row r="327" spans="1:6">
      <c r="A327" s="994">
        <v>28</v>
      </c>
      <c r="B327" s="1149" t="s">
        <v>2872</v>
      </c>
      <c r="C327" s="469" t="s">
        <v>407</v>
      </c>
      <c r="D327" s="1122">
        <v>24</v>
      </c>
      <c r="E327" s="1155">
        <v>18500</v>
      </c>
      <c r="F327" s="1141">
        <f t="shared" si="9"/>
        <v>444000</v>
      </c>
    </row>
    <row r="328" spans="1:6">
      <c r="A328" s="994">
        <v>29</v>
      </c>
      <c r="B328" s="1149" t="s">
        <v>2873</v>
      </c>
      <c r="C328" s="469" t="s">
        <v>407</v>
      </c>
      <c r="D328" s="1122">
        <v>24</v>
      </c>
      <c r="E328" s="1155">
        <v>15550</v>
      </c>
      <c r="F328" s="1141">
        <f t="shared" si="9"/>
        <v>373200</v>
      </c>
    </row>
    <row r="329" spans="1:6">
      <c r="A329" s="994">
        <v>30</v>
      </c>
      <c r="B329" s="1149" t="s">
        <v>2874</v>
      </c>
      <c r="C329" s="469" t="s">
        <v>407</v>
      </c>
      <c r="D329" s="1122">
        <v>24</v>
      </c>
      <c r="E329" s="1155">
        <v>2350</v>
      </c>
      <c r="F329" s="1141">
        <f t="shared" si="9"/>
        <v>56400</v>
      </c>
    </row>
    <row r="330" spans="1:6">
      <c r="A330" s="994">
        <v>31</v>
      </c>
      <c r="B330" s="1149" t="s">
        <v>2875</v>
      </c>
      <c r="C330" s="469" t="s">
        <v>407</v>
      </c>
      <c r="D330" s="1122">
        <v>240</v>
      </c>
      <c r="E330" s="1155">
        <v>850</v>
      </c>
      <c r="F330" s="1141">
        <f t="shared" si="9"/>
        <v>204000</v>
      </c>
    </row>
    <row r="331" spans="1:6">
      <c r="A331" s="994">
        <v>32</v>
      </c>
      <c r="B331" s="1149" t="s">
        <v>2876</v>
      </c>
      <c r="C331" s="469" t="s">
        <v>407</v>
      </c>
      <c r="D331" s="1122">
        <v>36</v>
      </c>
      <c r="E331" s="1155">
        <v>5500</v>
      </c>
      <c r="F331" s="1141">
        <f t="shared" si="9"/>
        <v>198000</v>
      </c>
    </row>
    <row r="332" spans="1:6">
      <c r="A332" s="1138"/>
      <c r="B332" s="1143" t="s">
        <v>556</v>
      </c>
      <c r="C332" s="1139"/>
      <c r="D332" s="1140"/>
      <c r="E332" s="1141"/>
      <c r="F332" s="1161">
        <f>SUM(F255:F331)</f>
        <v>33802180</v>
      </c>
    </row>
    <row r="333" spans="1:6">
      <c r="A333" s="1172"/>
      <c r="B333" s="1133"/>
      <c r="C333" s="1133"/>
      <c r="D333" s="1173"/>
      <c r="E333" s="1171"/>
      <c r="F333" s="1171"/>
    </row>
    <row r="334" spans="1:6">
      <c r="A334" s="1172"/>
      <c r="B334" s="1133"/>
      <c r="C334" s="1133"/>
      <c r="D334" s="1173"/>
      <c r="E334" s="1171"/>
      <c r="F334" s="1171"/>
    </row>
    <row r="335" spans="1:6">
      <c r="A335" s="1172"/>
      <c r="B335" s="1133"/>
      <c r="C335" s="1133"/>
      <c r="D335" s="1173"/>
      <c r="E335" s="1171"/>
      <c r="F335" s="1171"/>
    </row>
    <row r="336" spans="1:6">
      <c r="A336" s="1172"/>
      <c r="B336" s="1133"/>
      <c r="C336" s="1133"/>
      <c r="D336" s="1173"/>
      <c r="E336" s="1171"/>
      <c r="F336" s="1171"/>
    </row>
    <row r="337" spans="1:6">
      <c r="A337" s="1172"/>
      <c r="B337" s="1133"/>
      <c r="C337" s="1133"/>
      <c r="D337" s="1173"/>
      <c r="E337" s="1171"/>
      <c r="F337" s="1171"/>
    </row>
    <row r="338" spans="1:6">
      <c r="A338" s="1172"/>
      <c r="B338" s="1133"/>
      <c r="C338" s="1133"/>
      <c r="D338" s="1173"/>
      <c r="E338" s="1171"/>
      <c r="F338" s="1171"/>
    </row>
    <row r="339" spans="1:6">
      <c r="A339" s="1172"/>
      <c r="B339" s="1133"/>
      <c r="C339" s="1133"/>
      <c r="D339" s="1173"/>
      <c r="E339" s="1171"/>
      <c r="F339" s="1171"/>
    </row>
    <row r="340" spans="1:6">
      <c r="A340" s="1172"/>
      <c r="B340" s="1133"/>
      <c r="C340" s="1133"/>
      <c r="D340" s="1173"/>
      <c r="E340" s="1171"/>
      <c r="F340" s="1171"/>
    </row>
    <row r="341" spans="1:6">
      <c r="A341" s="1172"/>
      <c r="B341" s="1133"/>
      <c r="C341" s="1133"/>
      <c r="D341" s="1173"/>
      <c r="E341" s="1171"/>
      <c r="F341" s="1171"/>
    </row>
    <row r="342" spans="1:6">
      <c r="A342" s="1172"/>
      <c r="B342" s="1133"/>
      <c r="C342" s="1133"/>
      <c r="D342" s="1173"/>
      <c r="E342" s="1171"/>
      <c r="F342" s="1171"/>
    </row>
    <row r="343" spans="1:6">
      <c r="A343" s="1172"/>
      <c r="B343" s="1133"/>
      <c r="C343" s="1133"/>
      <c r="D343" s="1173"/>
      <c r="E343" s="1171"/>
      <c r="F343" s="1171"/>
    </row>
    <row r="344" spans="1:6">
      <c r="A344" s="1172"/>
      <c r="B344" s="1133"/>
      <c r="C344" s="1133"/>
      <c r="D344" s="1173"/>
      <c r="E344" s="1171"/>
      <c r="F344" s="1171"/>
    </row>
    <row r="345" spans="1:6">
      <c r="A345" s="1172"/>
      <c r="B345" s="1133"/>
      <c r="C345" s="1133"/>
      <c r="D345" s="1173"/>
      <c r="E345" s="1171"/>
      <c r="F345" s="1171"/>
    </row>
    <row r="346" spans="1:6">
      <c r="A346" s="1172"/>
      <c r="B346" s="1133"/>
      <c r="C346" s="1133"/>
      <c r="D346" s="1173"/>
      <c r="E346" s="1171"/>
      <c r="F346" s="1171"/>
    </row>
    <row r="347" spans="1:6">
      <c r="A347" s="1172"/>
      <c r="B347" s="1133"/>
      <c r="C347" s="1133"/>
      <c r="D347" s="1173"/>
      <c r="E347" s="1171"/>
      <c r="F347" s="1171"/>
    </row>
    <row r="348" spans="1:6">
      <c r="A348" s="1172"/>
      <c r="B348" s="1133"/>
      <c r="C348" s="1133"/>
      <c r="D348" s="1173"/>
      <c r="E348" s="1171"/>
      <c r="F348" s="1171"/>
    </row>
    <row r="349" spans="1:6">
      <c r="A349" s="1172"/>
      <c r="B349" s="1133"/>
      <c r="C349" s="1133"/>
      <c r="D349" s="1173"/>
      <c r="E349" s="1171"/>
      <c r="F349" s="1171"/>
    </row>
    <row r="350" spans="1:6">
      <c r="A350" s="1172"/>
      <c r="B350" s="1133"/>
      <c r="C350" s="1133"/>
      <c r="D350" s="1173"/>
      <c r="E350" s="1171"/>
      <c r="F350" s="1171"/>
    </row>
    <row r="351" spans="1:6">
      <c r="A351" s="1172"/>
      <c r="B351" s="1133"/>
      <c r="C351" s="1133"/>
      <c r="D351" s="1173"/>
      <c r="E351" s="1171"/>
      <c r="F351" s="1171"/>
    </row>
    <row r="352" spans="1:6">
      <c r="A352" s="1172"/>
      <c r="B352" s="1133"/>
      <c r="C352" s="1133"/>
      <c r="D352" s="1173"/>
      <c r="E352" s="1171"/>
      <c r="F352" s="1171"/>
    </row>
    <row r="353" spans="1:6">
      <c r="A353" s="1172"/>
      <c r="B353" s="1133"/>
      <c r="C353" s="1133"/>
      <c r="D353" s="1173"/>
      <c r="E353" s="1171"/>
      <c r="F353" s="1171"/>
    </row>
    <row r="354" spans="1:6">
      <c r="A354" s="1172"/>
      <c r="B354" s="1133"/>
      <c r="C354" s="1133"/>
      <c r="D354" s="1173"/>
      <c r="E354" s="1171"/>
      <c r="F354" s="1171"/>
    </row>
    <row r="355" spans="1:6">
      <c r="A355" s="1172"/>
      <c r="B355" s="1133"/>
      <c r="C355" s="1133"/>
      <c r="D355" s="1173"/>
      <c r="E355" s="1171"/>
      <c r="F355" s="1171"/>
    </row>
    <row r="356" spans="1:6">
      <c r="A356" s="1172"/>
      <c r="B356" s="1133"/>
      <c r="C356" s="1133"/>
      <c r="D356" s="1173"/>
      <c r="E356" s="1171"/>
      <c r="F356" s="1171"/>
    </row>
    <row r="357" spans="1:6">
      <c r="A357" s="1172"/>
      <c r="B357" s="1133"/>
      <c r="C357" s="1133"/>
      <c r="D357" s="1173"/>
      <c r="E357" s="1171"/>
      <c r="F357" s="1171"/>
    </row>
    <row r="358" spans="1:6">
      <c r="A358" s="1172"/>
      <c r="B358" s="1133"/>
      <c r="C358" s="1133"/>
      <c r="D358" s="1173"/>
      <c r="E358" s="1171"/>
      <c r="F358" s="1171"/>
    </row>
    <row r="359" spans="1:6">
      <c r="A359" s="1172"/>
      <c r="B359" s="1133"/>
      <c r="C359" s="1133"/>
      <c r="D359" s="1173"/>
      <c r="E359" s="1171"/>
      <c r="F359" s="1171"/>
    </row>
    <row r="360" spans="1:6">
      <c r="A360" s="1249" t="s">
        <v>2877</v>
      </c>
      <c r="B360" s="1249"/>
      <c r="C360" s="1249"/>
    </row>
    <row r="361" spans="1:6">
      <c r="A361" s="1174"/>
      <c r="B361" s="1174"/>
      <c r="C361" s="1174"/>
    </row>
    <row r="362" spans="1:6" s="283" customFormat="1" ht="24">
      <c r="A362" s="38" t="s">
        <v>1</v>
      </c>
      <c r="B362" s="1097" t="s">
        <v>2771</v>
      </c>
      <c r="C362" s="38" t="s">
        <v>2772</v>
      </c>
      <c r="D362" s="1098" t="s">
        <v>315</v>
      </c>
      <c r="E362" s="1098" t="s">
        <v>166</v>
      </c>
      <c r="F362" s="1098" t="s">
        <v>316</v>
      </c>
    </row>
    <row r="363" spans="1:6">
      <c r="A363" s="1138">
        <v>1</v>
      </c>
      <c r="B363" s="1149" t="s">
        <v>2878</v>
      </c>
      <c r="C363" s="469" t="s">
        <v>407</v>
      </c>
      <c r="D363" s="1122">
        <v>50</v>
      </c>
      <c r="E363" s="1123">
        <v>1500</v>
      </c>
      <c r="F363" s="1141">
        <f>E363*D363</f>
        <v>75000</v>
      </c>
    </row>
    <row r="364" spans="1:6">
      <c r="A364" s="1138">
        <v>2</v>
      </c>
      <c r="B364" s="1149" t="s">
        <v>2879</v>
      </c>
      <c r="C364" s="469" t="s">
        <v>407</v>
      </c>
      <c r="D364" s="1122">
        <v>6</v>
      </c>
      <c r="E364" s="1123">
        <v>25000</v>
      </c>
      <c r="F364" s="1141">
        <f t="shared" ref="F364:F427" si="10">E364*D364</f>
        <v>150000</v>
      </c>
    </row>
    <row r="365" spans="1:6">
      <c r="A365" s="1138">
        <v>3</v>
      </c>
      <c r="B365" s="1149" t="s">
        <v>2880</v>
      </c>
      <c r="C365" s="469" t="s">
        <v>407</v>
      </c>
      <c r="D365" s="1122">
        <v>400</v>
      </c>
      <c r="E365" s="1123">
        <v>350</v>
      </c>
      <c r="F365" s="1141">
        <f t="shared" si="10"/>
        <v>140000</v>
      </c>
    </row>
    <row r="366" spans="1:6">
      <c r="A366" s="1138">
        <v>4</v>
      </c>
      <c r="B366" s="1149" t="s">
        <v>2881</v>
      </c>
      <c r="C366" s="469" t="s">
        <v>407</v>
      </c>
      <c r="D366" s="1122">
        <v>20</v>
      </c>
      <c r="E366" s="1123">
        <v>2500</v>
      </c>
      <c r="F366" s="1141">
        <f t="shared" si="10"/>
        <v>50000</v>
      </c>
    </row>
    <row r="367" spans="1:6">
      <c r="A367" s="1138">
        <v>5</v>
      </c>
      <c r="B367" s="1149" t="s">
        <v>2882</v>
      </c>
      <c r="C367" s="469" t="s">
        <v>407</v>
      </c>
      <c r="D367" s="1122">
        <v>400</v>
      </c>
      <c r="E367" s="1123">
        <v>1200</v>
      </c>
      <c r="F367" s="1141">
        <f t="shared" si="10"/>
        <v>480000</v>
      </c>
    </row>
    <row r="368" spans="1:6">
      <c r="A368" s="1138">
        <v>6</v>
      </c>
      <c r="B368" s="1149" t="s">
        <v>2883</v>
      </c>
      <c r="C368" s="469" t="s">
        <v>407</v>
      </c>
      <c r="D368" s="1122">
        <v>2000</v>
      </c>
      <c r="E368" s="1123">
        <v>110</v>
      </c>
      <c r="F368" s="1141">
        <f t="shared" si="10"/>
        <v>220000</v>
      </c>
    </row>
    <row r="369" spans="1:6">
      <c r="A369" s="1138">
        <v>7</v>
      </c>
      <c r="B369" s="1149" t="s">
        <v>2884</v>
      </c>
      <c r="C369" s="469" t="s">
        <v>407</v>
      </c>
      <c r="D369" s="1122">
        <v>2000</v>
      </c>
      <c r="E369" s="1123">
        <v>77</v>
      </c>
      <c r="F369" s="1141">
        <f t="shared" si="10"/>
        <v>154000</v>
      </c>
    </row>
    <row r="370" spans="1:6">
      <c r="A370" s="1138">
        <v>8</v>
      </c>
      <c r="B370" s="1149" t="s">
        <v>2884</v>
      </c>
      <c r="C370" s="469" t="s">
        <v>407</v>
      </c>
      <c r="D370" s="1122">
        <v>2000</v>
      </c>
      <c r="E370" s="1123">
        <v>88</v>
      </c>
      <c r="F370" s="1141">
        <f t="shared" si="10"/>
        <v>176000</v>
      </c>
    </row>
    <row r="371" spans="1:6">
      <c r="A371" s="1138">
        <v>9</v>
      </c>
      <c r="B371" s="1149" t="s">
        <v>2885</v>
      </c>
      <c r="C371" s="469" t="s">
        <v>407</v>
      </c>
      <c r="D371" s="1122">
        <v>500</v>
      </c>
      <c r="E371" s="1123">
        <v>350</v>
      </c>
      <c r="F371" s="1141">
        <f t="shared" si="10"/>
        <v>175000</v>
      </c>
    </row>
    <row r="372" spans="1:6">
      <c r="A372" s="1138">
        <v>10</v>
      </c>
      <c r="B372" s="1149" t="s">
        <v>2886</v>
      </c>
      <c r="C372" s="469" t="s">
        <v>407</v>
      </c>
      <c r="D372" s="1122">
        <v>48</v>
      </c>
      <c r="E372" s="1123">
        <v>500</v>
      </c>
      <c r="F372" s="1141">
        <f t="shared" si="10"/>
        <v>24000</v>
      </c>
    </row>
    <row r="373" spans="1:6">
      <c r="A373" s="1138">
        <v>11</v>
      </c>
      <c r="B373" s="1149" t="s">
        <v>2887</v>
      </c>
      <c r="C373" s="469" t="s">
        <v>407</v>
      </c>
      <c r="D373" s="1122">
        <v>60</v>
      </c>
      <c r="E373" s="1123">
        <v>2500</v>
      </c>
      <c r="F373" s="1141">
        <f t="shared" si="10"/>
        <v>150000</v>
      </c>
    </row>
    <row r="374" spans="1:6">
      <c r="A374" s="1138">
        <v>12</v>
      </c>
      <c r="B374" s="1149" t="s">
        <v>2888</v>
      </c>
      <c r="C374" s="469" t="s">
        <v>407</v>
      </c>
      <c r="D374" s="1122">
        <v>500</v>
      </c>
      <c r="E374" s="1123">
        <v>600</v>
      </c>
      <c r="F374" s="1141">
        <f t="shared" si="10"/>
        <v>300000</v>
      </c>
    </row>
    <row r="375" spans="1:6">
      <c r="A375" s="1138">
        <v>13</v>
      </c>
      <c r="B375" s="1149" t="s">
        <v>2889</v>
      </c>
      <c r="C375" s="469" t="s">
        <v>407</v>
      </c>
      <c r="D375" s="1122">
        <v>150</v>
      </c>
      <c r="E375" s="1123">
        <v>1800</v>
      </c>
      <c r="F375" s="1141">
        <f t="shared" si="10"/>
        <v>270000</v>
      </c>
    </row>
    <row r="376" spans="1:6">
      <c r="A376" s="1138">
        <v>14</v>
      </c>
      <c r="B376" s="1149" t="s">
        <v>2438</v>
      </c>
      <c r="C376" s="469" t="s">
        <v>2890</v>
      </c>
      <c r="D376" s="1122">
        <v>800</v>
      </c>
      <c r="E376" s="1123">
        <v>9800</v>
      </c>
      <c r="F376" s="1141">
        <f t="shared" si="10"/>
        <v>7840000</v>
      </c>
    </row>
    <row r="377" spans="1:6">
      <c r="A377" s="1138">
        <v>15</v>
      </c>
      <c r="B377" s="1149" t="s">
        <v>2891</v>
      </c>
      <c r="C377" s="469" t="s">
        <v>407</v>
      </c>
      <c r="D377" s="1122">
        <v>500</v>
      </c>
      <c r="E377" s="1123">
        <v>180</v>
      </c>
      <c r="F377" s="1141">
        <f t="shared" si="10"/>
        <v>90000</v>
      </c>
    </row>
    <row r="378" spans="1:6">
      <c r="A378" s="1138">
        <v>16</v>
      </c>
      <c r="B378" s="1149" t="s">
        <v>2892</v>
      </c>
      <c r="C378" s="469" t="s">
        <v>407</v>
      </c>
      <c r="D378" s="1122">
        <v>500</v>
      </c>
      <c r="E378" s="1123">
        <v>220</v>
      </c>
      <c r="F378" s="1141">
        <f t="shared" si="10"/>
        <v>110000</v>
      </c>
    </row>
    <row r="379" spans="1:6">
      <c r="A379" s="1138">
        <v>17</v>
      </c>
      <c r="B379" s="1149" t="s">
        <v>2893</v>
      </c>
      <c r="C379" s="469" t="s">
        <v>407</v>
      </c>
      <c r="D379" s="1122">
        <v>500</v>
      </c>
      <c r="E379" s="1123">
        <v>600</v>
      </c>
      <c r="F379" s="1141">
        <f t="shared" si="10"/>
        <v>300000</v>
      </c>
    </row>
    <row r="380" spans="1:6">
      <c r="A380" s="1138">
        <v>18</v>
      </c>
      <c r="B380" s="1149" t="s">
        <v>2894</v>
      </c>
      <c r="C380" s="469" t="s">
        <v>407</v>
      </c>
      <c r="D380" s="1122">
        <v>48</v>
      </c>
      <c r="E380" s="1123">
        <v>3000</v>
      </c>
      <c r="F380" s="1141">
        <f t="shared" si="10"/>
        <v>144000</v>
      </c>
    </row>
    <row r="381" spans="1:6">
      <c r="A381" s="1138">
        <v>19</v>
      </c>
      <c r="B381" s="1149" t="s">
        <v>2895</v>
      </c>
      <c r="C381" s="469" t="s">
        <v>407</v>
      </c>
      <c r="D381" s="1122">
        <v>96</v>
      </c>
      <c r="E381" s="1123">
        <v>900</v>
      </c>
      <c r="F381" s="1141">
        <f t="shared" si="10"/>
        <v>86400</v>
      </c>
    </row>
    <row r="382" spans="1:6">
      <c r="A382" s="1138">
        <v>20</v>
      </c>
      <c r="B382" s="1149" t="s">
        <v>2896</v>
      </c>
      <c r="C382" s="469" t="s">
        <v>407</v>
      </c>
      <c r="D382" s="1122">
        <v>300</v>
      </c>
      <c r="E382" s="1123">
        <v>350</v>
      </c>
      <c r="F382" s="1141">
        <f t="shared" si="10"/>
        <v>105000</v>
      </c>
    </row>
    <row r="383" spans="1:6">
      <c r="A383" s="1138">
        <v>21</v>
      </c>
      <c r="B383" s="1149" t="s">
        <v>2897</v>
      </c>
      <c r="C383" s="469" t="s">
        <v>407</v>
      </c>
      <c r="D383" s="1122">
        <v>25</v>
      </c>
      <c r="E383" s="1123">
        <v>1800</v>
      </c>
      <c r="F383" s="1141">
        <f t="shared" si="10"/>
        <v>45000</v>
      </c>
    </row>
    <row r="384" spans="1:6">
      <c r="A384" s="1138">
        <v>22</v>
      </c>
      <c r="B384" s="1149" t="s">
        <v>2898</v>
      </c>
      <c r="C384" s="469" t="s">
        <v>407</v>
      </c>
      <c r="D384" s="1122">
        <v>2</v>
      </c>
      <c r="E384" s="1123">
        <v>198000</v>
      </c>
      <c r="F384" s="1141">
        <f t="shared" si="10"/>
        <v>396000</v>
      </c>
    </row>
    <row r="385" spans="1:6">
      <c r="A385" s="1138">
        <v>23</v>
      </c>
      <c r="B385" s="1149" t="s">
        <v>2899</v>
      </c>
      <c r="C385" s="469" t="s">
        <v>407</v>
      </c>
      <c r="D385" s="1122">
        <v>1</v>
      </c>
      <c r="E385" s="1123">
        <v>165000</v>
      </c>
      <c r="F385" s="1141">
        <f t="shared" si="10"/>
        <v>165000</v>
      </c>
    </row>
    <row r="386" spans="1:6">
      <c r="A386" s="1138">
        <v>24</v>
      </c>
      <c r="B386" s="1149" t="s">
        <v>2900</v>
      </c>
      <c r="C386" s="469" t="s">
        <v>407</v>
      </c>
      <c r="D386" s="1122">
        <v>4</v>
      </c>
      <c r="E386" s="1123">
        <v>1800</v>
      </c>
      <c r="F386" s="1141">
        <f t="shared" si="10"/>
        <v>7200</v>
      </c>
    </row>
    <row r="387" spans="1:6">
      <c r="A387" s="1138">
        <v>25</v>
      </c>
      <c r="B387" s="1149" t="s">
        <v>2901</v>
      </c>
      <c r="C387" s="469" t="s">
        <v>407</v>
      </c>
      <c r="D387" s="1122">
        <v>500</v>
      </c>
      <c r="E387" s="1123">
        <v>180</v>
      </c>
      <c r="F387" s="1141">
        <f t="shared" si="10"/>
        <v>90000</v>
      </c>
    </row>
    <row r="388" spans="1:6">
      <c r="A388" s="1138">
        <v>26</v>
      </c>
      <c r="B388" s="1149" t="s">
        <v>2902</v>
      </c>
      <c r="C388" s="469" t="s">
        <v>407</v>
      </c>
      <c r="D388" s="1122">
        <v>96</v>
      </c>
      <c r="E388" s="1123">
        <v>1500</v>
      </c>
      <c r="F388" s="1141">
        <f t="shared" si="10"/>
        <v>144000</v>
      </c>
    </row>
    <row r="389" spans="1:6">
      <c r="A389" s="1138">
        <v>27</v>
      </c>
      <c r="B389" s="1149" t="s">
        <v>2903</v>
      </c>
      <c r="C389" s="469" t="s">
        <v>407</v>
      </c>
      <c r="D389" s="1122">
        <v>96</v>
      </c>
      <c r="E389" s="1123">
        <v>1800</v>
      </c>
      <c r="F389" s="1141">
        <f t="shared" si="10"/>
        <v>172800</v>
      </c>
    </row>
    <row r="390" spans="1:6">
      <c r="A390" s="1138">
        <v>28</v>
      </c>
      <c r="B390" s="1149" t="s">
        <v>2904</v>
      </c>
      <c r="C390" s="469" t="s">
        <v>407</v>
      </c>
      <c r="D390" s="1122">
        <v>100</v>
      </c>
      <c r="E390" s="1123">
        <v>300</v>
      </c>
      <c r="F390" s="1141">
        <f t="shared" si="10"/>
        <v>30000</v>
      </c>
    </row>
    <row r="391" spans="1:6">
      <c r="A391" s="1138">
        <v>29</v>
      </c>
      <c r="B391" s="1149" t="s">
        <v>2905</v>
      </c>
      <c r="C391" s="469" t="s">
        <v>407</v>
      </c>
      <c r="D391" s="1122">
        <v>100</v>
      </c>
      <c r="E391" s="1123">
        <v>320</v>
      </c>
      <c r="F391" s="1141">
        <f t="shared" si="10"/>
        <v>32000</v>
      </c>
    </row>
    <row r="392" spans="1:6">
      <c r="A392" s="1138">
        <v>30</v>
      </c>
      <c r="B392" s="1149" t="s">
        <v>2906</v>
      </c>
      <c r="C392" s="469" t="s">
        <v>407</v>
      </c>
      <c r="D392" s="1122">
        <v>100</v>
      </c>
      <c r="E392" s="1123">
        <v>340</v>
      </c>
      <c r="F392" s="1141">
        <f t="shared" si="10"/>
        <v>34000</v>
      </c>
    </row>
    <row r="393" spans="1:6">
      <c r="A393" s="1138">
        <v>31</v>
      </c>
      <c r="B393" s="1149" t="s">
        <v>2907</v>
      </c>
      <c r="C393" s="469" t="s">
        <v>407</v>
      </c>
      <c r="D393" s="1122">
        <v>100</v>
      </c>
      <c r="E393" s="1123">
        <v>500</v>
      </c>
      <c r="F393" s="1141">
        <f t="shared" si="10"/>
        <v>50000</v>
      </c>
    </row>
    <row r="394" spans="1:6">
      <c r="A394" s="1138">
        <v>32</v>
      </c>
      <c r="B394" s="1149" t="s">
        <v>2908</v>
      </c>
      <c r="C394" s="469" t="s">
        <v>407</v>
      </c>
      <c r="D394" s="1122">
        <v>100</v>
      </c>
      <c r="E394" s="1123">
        <v>700</v>
      </c>
      <c r="F394" s="1141">
        <f t="shared" si="10"/>
        <v>70000</v>
      </c>
    </row>
    <row r="395" spans="1:6">
      <c r="A395" s="1138">
        <v>33</v>
      </c>
      <c r="B395" s="1149" t="s">
        <v>2909</v>
      </c>
      <c r="C395" s="469" t="s">
        <v>407</v>
      </c>
      <c r="D395" s="1122">
        <v>1000</v>
      </c>
      <c r="E395" s="1123">
        <v>180</v>
      </c>
      <c r="F395" s="1141">
        <f t="shared" si="10"/>
        <v>180000</v>
      </c>
    </row>
    <row r="396" spans="1:6">
      <c r="A396" s="1138">
        <v>34</v>
      </c>
      <c r="B396" s="1149" t="s">
        <v>2910</v>
      </c>
      <c r="C396" s="469" t="s">
        <v>407</v>
      </c>
      <c r="D396" s="1122">
        <v>300</v>
      </c>
      <c r="E396" s="1123">
        <v>280</v>
      </c>
      <c r="F396" s="1141">
        <f t="shared" si="10"/>
        <v>84000</v>
      </c>
    </row>
    <row r="397" spans="1:6">
      <c r="A397" s="1138">
        <v>35</v>
      </c>
      <c r="B397" s="1149" t="s">
        <v>2911</v>
      </c>
      <c r="C397" s="469" t="s">
        <v>407</v>
      </c>
      <c r="D397" s="1122">
        <v>100</v>
      </c>
      <c r="E397" s="1123">
        <v>2000</v>
      </c>
      <c r="F397" s="1141">
        <f t="shared" si="10"/>
        <v>200000</v>
      </c>
    </row>
    <row r="398" spans="1:6">
      <c r="A398" s="1138">
        <v>36</v>
      </c>
      <c r="B398" s="1149" t="s">
        <v>2912</v>
      </c>
      <c r="C398" s="469" t="s">
        <v>407</v>
      </c>
      <c r="D398" s="1122">
        <v>500</v>
      </c>
      <c r="E398" s="1123">
        <v>80</v>
      </c>
      <c r="F398" s="1141">
        <f t="shared" si="10"/>
        <v>40000</v>
      </c>
    </row>
    <row r="399" spans="1:6">
      <c r="A399" s="1138">
        <v>37</v>
      </c>
      <c r="B399" s="1149" t="s">
        <v>2913</v>
      </c>
      <c r="C399" s="469" t="s">
        <v>407</v>
      </c>
      <c r="D399" s="1122">
        <v>500</v>
      </c>
      <c r="E399" s="1123">
        <v>120</v>
      </c>
      <c r="F399" s="1141">
        <f t="shared" si="10"/>
        <v>60000</v>
      </c>
    </row>
    <row r="400" spans="1:6">
      <c r="A400" s="1138">
        <v>38</v>
      </c>
      <c r="B400" s="1149" t="s">
        <v>2914</v>
      </c>
      <c r="C400" s="469" t="s">
        <v>407</v>
      </c>
      <c r="D400" s="1122">
        <v>10</v>
      </c>
      <c r="E400" s="1123">
        <v>15000</v>
      </c>
      <c r="F400" s="1141">
        <f t="shared" si="10"/>
        <v>150000</v>
      </c>
    </row>
    <row r="401" spans="1:6">
      <c r="A401" s="1138">
        <v>39</v>
      </c>
      <c r="B401" s="1149" t="s">
        <v>2915</v>
      </c>
      <c r="C401" s="469" t="s">
        <v>407</v>
      </c>
      <c r="D401" s="1122">
        <v>6</v>
      </c>
      <c r="E401" s="1123">
        <v>55000</v>
      </c>
      <c r="F401" s="1141">
        <f t="shared" si="10"/>
        <v>330000</v>
      </c>
    </row>
    <row r="402" spans="1:6">
      <c r="A402" s="1138">
        <v>40</v>
      </c>
      <c r="B402" s="1149" t="s">
        <v>2916</v>
      </c>
      <c r="C402" s="469" t="s">
        <v>407</v>
      </c>
      <c r="D402" s="1122">
        <v>6</v>
      </c>
      <c r="E402" s="1123">
        <v>55000</v>
      </c>
      <c r="F402" s="1141">
        <f t="shared" si="10"/>
        <v>330000</v>
      </c>
    </row>
    <row r="403" spans="1:6">
      <c r="A403" s="1138">
        <v>41</v>
      </c>
      <c r="B403" s="1149" t="s">
        <v>2917</v>
      </c>
      <c r="C403" s="469" t="s">
        <v>407</v>
      </c>
      <c r="D403" s="1122">
        <v>6</v>
      </c>
      <c r="E403" s="1123">
        <v>55000</v>
      </c>
      <c r="F403" s="1141">
        <f t="shared" si="10"/>
        <v>330000</v>
      </c>
    </row>
    <row r="404" spans="1:6">
      <c r="A404" s="1138">
        <v>42</v>
      </c>
      <c r="B404" s="1149" t="s">
        <v>2918</v>
      </c>
      <c r="C404" s="469" t="s">
        <v>407</v>
      </c>
      <c r="D404" s="1122">
        <v>6</v>
      </c>
      <c r="E404" s="1123">
        <v>55000</v>
      </c>
      <c r="F404" s="1141">
        <f t="shared" si="10"/>
        <v>330000</v>
      </c>
    </row>
    <row r="405" spans="1:6">
      <c r="A405" s="1138">
        <v>43</v>
      </c>
      <c r="B405" s="1149" t="s">
        <v>2919</v>
      </c>
      <c r="C405" s="469" t="s">
        <v>407</v>
      </c>
      <c r="D405" s="1122">
        <v>50</v>
      </c>
      <c r="E405" s="1123">
        <v>8000</v>
      </c>
      <c r="F405" s="1141">
        <f t="shared" si="10"/>
        <v>400000</v>
      </c>
    </row>
    <row r="406" spans="1:6">
      <c r="A406" s="1138">
        <v>44</v>
      </c>
      <c r="B406" s="1149" t="s">
        <v>2920</v>
      </c>
      <c r="C406" s="469" t="s">
        <v>407</v>
      </c>
      <c r="D406" s="1122">
        <v>5</v>
      </c>
      <c r="E406" s="1123">
        <v>45000</v>
      </c>
      <c r="F406" s="1141">
        <f t="shared" si="10"/>
        <v>225000</v>
      </c>
    </row>
    <row r="407" spans="1:6">
      <c r="A407" s="1138">
        <v>45</v>
      </c>
      <c r="B407" s="1149" t="s">
        <v>2921</v>
      </c>
      <c r="C407" s="469" t="s">
        <v>317</v>
      </c>
      <c r="D407" s="1122">
        <v>10</v>
      </c>
      <c r="E407" s="1123">
        <v>27500</v>
      </c>
      <c r="F407" s="1141">
        <f t="shared" si="10"/>
        <v>275000</v>
      </c>
    </row>
    <row r="408" spans="1:6">
      <c r="A408" s="1138">
        <v>46</v>
      </c>
      <c r="B408" s="1149" t="s">
        <v>2922</v>
      </c>
      <c r="C408" s="469" t="s">
        <v>407</v>
      </c>
      <c r="D408" s="1122">
        <v>8</v>
      </c>
      <c r="E408" s="1123">
        <v>44000</v>
      </c>
      <c r="F408" s="1141">
        <f t="shared" si="10"/>
        <v>352000</v>
      </c>
    </row>
    <row r="409" spans="1:6">
      <c r="A409" s="1138">
        <v>47</v>
      </c>
      <c r="B409" s="1149" t="s">
        <v>2923</v>
      </c>
      <c r="C409" s="469" t="s">
        <v>407</v>
      </c>
      <c r="D409" s="1122">
        <v>6</v>
      </c>
      <c r="E409" s="1123">
        <v>99000</v>
      </c>
      <c r="F409" s="1141">
        <f t="shared" si="10"/>
        <v>594000</v>
      </c>
    </row>
    <row r="410" spans="1:6">
      <c r="A410" s="1138">
        <v>48</v>
      </c>
      <c r="B410" s="1149" t="s">
        <v>2924</v>
      </c>
      <c r="C410" s="469" t="s">
        <v>407</v>
      </c>
      <c r="D410" s="1122">
        <v>15</v>
      </c>
      <c r="E410" s="1123">
        <v>44000</v>
      </c>
      <c r="F410" s="1141">
        <f t="shared" si="10"/>
        <v>660000</v>
      </c>
    </row>
    <row r="411" spans="1:6">
      <c r="A411" s="1138">
        <v>49</v>
      </c>
      <c r="B411" s="1149" t="s">
        <v>2925</v>
      </c>
      <c r="C411" s="469" t="s">
        <v>317</v>
      </c>
      <c r="D411" s="1122">
        <v>4</v>
      </c>
      <c r="E411" s="1123">
        <v>44000</v>
      </c>
      <c r="F411" s="1141">
        <f t="shared" si="10"/>
        <v>176000</v>
      </c>
    </row>
    <row r="412" spans="1:6">
      <c r="A412" s="1138">
        <v>50</v>
      </c>
      <c r="B412" s="1149" t="s">
        <v>2926</v>
      </c>
      <c r="C412" s="469" t="s">
        <v>407</v>
      </c>
      <c r="D412" s="1122">
        <v>15</v>
      </c>
      <c r="E412" s="1123">
        <v>44000</v>
      </c>
      <c r="F412" s="1141">
        <f t="shared" si="10"/>
        <v>660000</v>
      </c>
    </row>
    <row r="413" spans="1:6">
      <c r="A413" s="1138">
        <v>51</v>
      </c>
      <c r="B413" s="1149" t="s">
        <v>2927</v>
      </c>
      <c r="C413" s="469" t="s">
        <v>407</v>
      </c>
      <c r="D413" s="1122">
        <v>100</v>
      </c>
      <c r="E413" s="1123">
        <v>1200</v>
      </c>
      <c r="F413" s="1141">
        <f t="shared" si="10"/>
        <v>120000</v>
      </c>
    </row>
    <row r="414" spans="1:6">
      <c r="A414" s="1138">
        <v>52</v>
      </c>
      <c r="B414" s="1149" t="s">
        <v>2928</v>
      </c>
      <c r="C414" s="469" t="s">
        <v>407</v>
      </c>
      <c r="D414" s="1122">
        <v>24</v>
      </c>
      <c r="E414" s="1123">
        <v>770</v>
      </c>
      <c r="F414" s="1141">
        <f t="shared" si="10"/>
        <v>18480</v>
      </c>
    </row>
    <row r="415" spans="1:6">
      <c r="A415" s="1138">
        <v>53</v>
      </c>
      <c r="B415" s="1149" t="s">
        <v>2929</v>
      </c>
      <c r="C415" s="469" t="s">
        <v>407</v>
      </c>
      <c r="D415" s="1122">
        <v>96</v>
      </c>
      <c r="E415" s="1123">
        <v>1500</v>
      </c>
      <c r="F415" s="1141">
        <f t="shared" si="10"/>
        <v>144000</v>
      </c>
    </row>
    <row r="416" spans="1:6">
      <c r="A416" s="1138">
        <v>54</v>
      </c>
      <c r="B416" s="1149" t="s">
        <v>2930</v>
      </c>
      <c r="C416" s="469" t="s">
        <v>407</v>
      </c>
      <c r="D416" s="1122">
        <v>48</v>
      </c>
      <c r="E416" s="1123">
        <v>1800</v>
      </c>
      <c r="F416" s="1141">
        <f t="shared" si="10"/>
        <v>86400</v>
      </c>
    </row>
    <row r="417" spans="1:6">
      <c r="A417" s="1138">
        <v>55</v>
      </c>
      <c r="B417" s="1149" t="s">
        <v>2931</v>
      </c>
      <c r="C417" s="469" t="s">
        <v>407</v>
      </c>
      <c r="D417" s="1122">
        <v>12</v>
      </c>
      <c r="E417" s="1123">
        <v>20000</v>
      </c>
      <c r="F417" s="1141">
        <f t="shared" si="10"/>
        <v>240000</v>
      </c>
    </row>
    <row r="418" spans="1:6">
      <c r="A418" s="1138">
        <v>56</v>
      </c>
      <c r="B418" s="1149" t="s">
        <v>2932</v>
      </c>
      <c r="C418" s="469" t="s">
        <v>407</v>
      </c>
      <c r="D418" s="1122">
        <v>200</v>
      </c>
      <c r="E418" s="1123">
        <v>200</v>
      </c>
      <c r="F418" s="1141">
        <f t="shared" si="10"/>
        <v>40000</v>
      </c>
    </row>
    <row r="419" spans="1:6">
      <c r="A419" s="1138">
        <v>57</v>
      </c>
      <c r="B419" s="1149" t="s">
        <v>2933</v>
      </c>
      <c r="C419" s="469" t="s">
        <v>407</v>
      </c>
      <c r="D419" s="1122">
        <v>24</v>
      </c>
      <c r="E419" s="1123">
        <v>3500</v>
      </c>
      <c r="F419" s="1141">
        <f t="shared" si="10"/>
        <v>84000</v>
      </c>
    </row>
    <row r="420" spans="1:6">
      <c r="A420" s="1138">
        <v>58</v>
      </c>
      <c r="B420" s="1149" t="s">
        <v>2934</v>
      </c>
      <c r="C420" s="469" t="s">
        <v>407</v>
      </c>
      <c r="D420" s="1122">
        <v>24</v>
      </c>
      <c r="E420" s="1123">
        <v>3500</v>
      </c>
      <c r="F420" s="1141">
        <f t="shared" si="10"/>
        <v>84000</v>
      </c>
    </row>
    <row r="421" spans="1:6">
      <c r="A421" s="1138">
        <v>59</v>
      </c>
      <c r="B421" s="1149" t="s">
        <v>2935</v>
      </c>
      <c r="C421" s="469" t="s">
        <v>407</v>
      </c>
      <c r="D421" s="1122">
        <v>24</v>
      </c>
      <c r="E421" s="1123">
        <v>2800</v>
      </c>
      <c r="F421" s="1141">
        <f t="shared" si="10"/>
        <v>67200</v>
      </c>
    </row>
    <row r="422" spans="1:6">
      <c r="A422" s="1138">
        <v>60</v>
      </c>
      <c r="B422" s="1149" t="s">
        <v>2936</v>
      </c>
      <c r="C422" s="469" t="s">
        <v>407</v>
      </c>
      <c r="D422" s="1122">
        <v>12</v>
      </c>
      <c r="E422" s="1123">
        <v>2100</v>
      </c>
      <c r="F422" s="1141">
        <f t="shared" si="10"/>
        <v>25200</v>
      </c>
    </row>
    <row r="423" spans="1:6">
      <c r="A423" s="1138">
        <v>61</v>
      </c>
      <c r="B423" s="1149" t="s">
        <v>2937</v>
      </c>
      <c r="C423" s="469" t="s">
        <v>407</v>
      </c>
      <c r="D423" s="1122">
        <v>100</v>
      </c>
      <c r="E423" s="1123">
        <v>1800</v>
      </c>
      <c r="F423" s="1141">
        <f t="shared" si="10"/>
        <v>180000</v>
      </c>
    </row>
    <row r="424" spans="1:6">
      <c r="A424" s="1138">
        <v>62</v>
      </c>
      <c r="B424" s="1149" t="s">
        <v>2938</v>
      </c>
      <c r="C424" s="469" t="s">
        <v>317</v>
      </c>
      <c r="D424" s="1122">
        <v>12</v>
      </c>
      <c r="E424" s="1123">
        <v>18000</v>
      </c>
      <c r="F424" s="1141">
        <f t="shared" si="10"/>
        <v>216000</v>
      </c>
    </row>
    <row r="425" spans="1:6">
      <c r="A425" s="1138">
        <v>63</v>
      </c>
      <c r="B425" s="1149" t="s">
        <v>2939</v>
      </c>
      <c r="C425" s="469" t="s">
        <v>407</v>
      </c>
      <c r="D425" s="1122">
        <v>50</v>
      </c>
      <c r="E425" s="1123">
        <v>500</v>
      </c>
      <c r="F425" s="1141">
        <f t="shared" si="10"/>
        <v>25000</v>
      </c>
    </row>
    <row r="426" spans="1:6">
      <c r="A426" s="1138">
        <v>64</v>
      </c>
      <c r="B426" s="1149" t="s">
        <v>2940</v>
      </c>
      <c r="C426" s="469" t="s">
        <v>407</v>
      </c>
      <c r="D426" s="1122">
        <v>1500</v>
      </c>
      <c r="E426" s="1123">
        <v>88</v>
      </c>
      <c r="F426" s="1141">
        <f t="shared" si="10"/>
        <v>132000</v>
      </c>
    </row>
    <row r="427" spans="1:6">
      <c r="A427" s="1138">
        <v>65</v>
      </c>
      <c r="B427" s="1149" t="s">
        <v>2940</v>
      </c>
      <c r="C427" s="469" t="s">
        <v>407</v>
      </c>
      <c r="D427" s="1122">
        <v>1500</v>
      </c>
      <c r="E427" s="1123">
        <v>110</v>
      </c>
      <c r="F427" s="1141">
        <f t="shared" si="10"/>
        <v>165000</v>
      </c>
    </row>
    <row r="428" spans="1:6">
      <c r="A428" s="1138">
        <v>66</v>
      </c>
      <c r="B428" s="1149" t="s">
        <v>2941</v>
      </c>
      <c r="C428" s="469" t="s">
        <v>407</v>
      </c>
      <c r="D428" s="1122">
        <v>20</v>
      </c>
      <c r="E428" s="1123">
        <v>3000</v>
      </c>
      <c r="F428" s="1141">
        <f t="shared" ref="F428:F445" si="11">E428*D428</f>
        <v>60000</v>
      </c>
    </row>
    <row r="429" spans="1:6">
      <c r="A429" s="1138">
        <v>67</v>
      </c>
      <c r="B429" s="1149" t="s">
        <v>2942</v>
      </c>
      <c r="C429" s="469" t="s">
        <v>407</v>
      </c>
      <c r="D429" s="1122">
        <v>72</v>
      </c>
      <c r="E429" s="1123">
        <v>2000</v>
      </c>
      <c r="F429" s="1141">
        <f t="shared" si="11"/>
        <v>144000</v>
      </c>
    </row>
    <row r="430" spans="1:6">
      <c r="A430" s="1138">
        <v>68</v>
      </c>
      <c r="B430" s="1149" t="s">
        <v>2943</v>
      </c>
      <c r="C430" s="469" t="s">
        <v>407</v>
      </c>
      <c r="D430" s="1122">
        <v>120</v>
      </c>
      <c r="E430" s="1123">
        <v>600</v>
      </c>
      <c r="F430" s="1141">
        <f t="shared" si="11"/>
        <v>72000</v>
      </c>
    </row>
    <row r="431" spans="1:6">
      <c r="A431" s="1138">
        <v>69</v>
      </c>
      <c r="B431" s="1149" t="s">
        <v>2944</v>
      </c>
      <c r="C431" s="469" t="s">
        <v>407</v>
      </c>
      <c r="D431" s="1122">
        <v>120</v>
      </c>
      <c r="E431" s="1123">
        <v>3200</v>
      </c>
      <c r="F431" s="1141">
        <f t="shared" si="11"/>
        <v>384000</v>
      </c>
    </row>
    <row r="432" spans="1:6">
      <c r="A432" s="1138">
        <v>70</v>
      </c>
      <c r="B432" s="1149" t="s">
        <v>2945</v>
      </c>
      <c r="C432" s="469" t="s">
        <v>407</v>
      </c>
      <c r="D432" s="1122">
        <v>100</v>
      </c>
      <c r="E432" s="1123">
        <v>4500</v>
      </c>
      <c r="F432" s="1141">
        <f t="shared" si="11"/>
        <v>450000</v>
      </c>
    </row>
    <row r="433" spans="1:6">
      <c r="A433" s="1138">
        <v>71</v>
      </c>
      <c r="B433" s="1149" t="s">
        <v>2946</v>
      </c>
      <c r="C433" s="469"/>
      <c r="D433" s="1122">
        <v>100</v>
      </c>
      <c r="E433" s="1123">
        <v>4500</v>
      </c>
      <c r="F433" s="1141">
        <f t="shared" si="11"/>
        <v>450000</v>
      </c>
    </row>
    <row r="434" spans="1:6">
      <c r="A434" s="1138">
        <v>72</v>
      </c>
      <c r="B434" s="1149" t="s">
        <v>2947</v>
      </c>
      <c r="C434" s="469" t="s">
        <v>407</v>
      </c>
      <c r="D434" s="1122">
        <v>100</v>
      </c>
      <c r="E434" s="1123">
        <v>625</v>
      </c>
      <c r="F434" s="1141">
        <f t="shared" si="11"/>
        <v>62500</v>
      </c>
    </row>
    <row r="435" spans="1:6">
      <c r="A435" s="1138">
        <v>73</v>
      </c>
      <c r="B435" s="1149" t="s">
        <v>2948</v>
      </c>
      <c r="C435" s="469" t="s">
        <v>407</v>
      </c>
      <c r="D435" s="1122">
        <v>48</v>
      </c>
      <c r="E435" s="1123">
        <v>2600</v>
      </c>
      <c r="F435" s="1141">
        <f t="shared" si="11"/>
        <v>124800</v>
      </c>
    </row>
    <row r="436" spans="1:6">
      <c r="A436" s="1138">
        <v>74</v>
      </c>
      <c r="B436" s="1149" t="s">
        <v>2949</v>
      </c>
      <c r="C436" s="469" t="s">
        <v>407</v>
      </c>
      <c r="D436" s="1122">
        <v>200</v>
      </c>
      <c r="E436" s="1123">
        <v>350</v>
      </c>
      <c r="F436" s="1141">
        <f t="shared" si="11"/>
        <v>70000</v>
      </c>
    </row>
    <row r="437" spans="1:6">
      <c r="A437" s="1138">
        <v>75</v>
      </c>
      <c r="B437" s="1149" t="s">
        <v>2950</v>
      </c>
      <c r="C437" s="469" t="s">
        <v>407</v>
      </c>
      <c r="D437" s="1122">
        <v>200</v>
      </c>
      <c r="E437" s="1123">
        <v>250</v>
      </c>
      <c r="F437" s="1141">
        <f t="shared" si="11"/>
        <v>50000</v>
      </c>
    </row>
    <row r="438" spans="1:6">
      <c r="A438" s="1138">
        <v>76</v>
      </c>
      <c r="B438" s="1149" t="s">
        <v>2951</v>
      </c>
      <c r="C438" s="469" t="s">
        <v>407</v>
      </c>
      <c r="D438" s="1122">
        <v>200</v>
      </c>
      <c r="E438" s="1123">
        <v>450</v>
      </c>
      <c r="F438" s="1141">
        <f t="shared" si="11"/>
        <v>90000</v>
      </c>
    </row>
    <row r="439" spans="1:6">
      <c r="A439" s="1138">
        <v>77</v>
      </c>
      <c r="B439" s="1149" t="s">
        <v>2952</v>
      </c>
      <c r="C439" s="469" t="s">
        <v>317</v>
      </c>
      <c r="D439" s="1122">
        <v>72</v>
      </c>
      <c r="E439" s="1123">
        <v>2100</v>
      </c>
      <c r="F439" s="1141">
        <f t="shared" si="11"/>
        <v>151200</v>
      </c>
    </row>
    <row r="440" spans="1:6">
      <c r="A440" s="1138">
        <v>79</v>
      </c>
      <c r="B440" s="1149" t="s">
        <v>2953</v>
      </c>
      <c r="C440" s="469" t="s">
        <v>407</v>
      </c>
      <c r="D440" s="1122">
        <v>6</v>
      </c>
      <c r="E440" s="1123">
        <v>55000</v>
      </c>
      <c r="F440" s="1141">
        <f t="shared" si="11"/>
        <v>330000</v>
      </c>
    </row>
    <row r="441" spans="1:6">
      <c r="A441" s="1138">
        <v>80</v>
      </c>
      <c r="B441" s="1149" t="s">
        <v>2954</v>
      </c>
      <c r="C441" s="469" t="s">
        <v>407</v>
      </c>
      <c r="D441" s="1122">
        <v>6</v>
      </c>
      <c r="E441" s="1123">
        <v>12000</v>
      </c>
      <c r="F441" s="1141">
        <f t="shared" si="11"/>
        <v>72000</v>
      </c>
    </row>
    <row r="442" spans="1:6">
      <c r="A442" s="1138">
        <v>81</v>
      </c>
      <c r="B442" s="1149" t="s">
        <v>2955</v>
      </c>
      <c r="C442" s="469" t="s">
        <v>407</v>
      </c>
      <c r="D442" s="1122">
        <v>18</v>
      </c>
      <c r="E442" s="1123">
        <v>5500</v>
      </c>
      <c r="F442" s="1141">
        <f t="shared" si="11"/>
        <v>99000</v>
      </c>
    </row>
    <row r="443" spans="1:6">
      <c r="A443" s="1138">
        <v>82</v>
      </c>
      <c r="B443" s="1149" t="s">
        <v>2956</v>
      </c>
      <c r="C443" s="469" t="s">
        <v>407</v>
      </c>
      <c r="D443" s="1122">
        <v>72</v>
      </c>
      <c r="E443" s="1123">
        <v>2500</v>
      </c>
      <c r="F443" s="1141">
        <f t="shared" si="11"/>
        <v>180000</v>
      </c>
    </row>
    <row r="444" spans="1:6">
      <c r="A444" s="1138">
        <v>83</v>
      </c>
      <c r="B444" s="1149" t="s">
        <v>2796</v>
      </c>
      <c r="C444" s="469" t="s">
        <v>407</v>
      </c>
      <c r="D444" s="1122">
        <v>250</v>
      </c>
      <c r="E444" s="1123">
        <v>800</v>
      </c>
      <c r="F444" s="1141">
        <f t="shared" si="11"/>
        <v>200000</v>
      </c>
    </row>
    <row r="445" spans="1:6">
      <c r="A445" s="1138">
        <v>84</v>
      </c>
      <c r="B445" s="1149" t="s">
        <v>2957</v>
      </c>
      <c r="C445" s="469" t="s">
        <v>407</v>
      </c>
      <c r="D445" s="1122">
        <v>50</v>
      </c>
      <c r="E445" s="1123">
        <v>2500</v>
      </c>
      <c r="F445" s="1141">
        <f t="shared" si="11"/>
        <v>125000</v>
      </c>
    </row>
    <row r="446" spans="1:6">
      <c r="A446" s="1138"/>
      <c r="B446" s="1143" t="s">
        <v>174</v>
      </c>
      <c r="C446" s="1139"/>
      <c r="D446" s="1140"/>
      <c r="E446" s="1141"/>
      <c r="F446" s="1161">
        <f>SUM(F363:F445)</f>
        <v>22393180</v>
      </c>
    </row>
    <row r="450" spans="2:5" s="1137" customFormat="1">
      <c r="B450" s="1240" t="s">
        <v>2958</v>
      </c>
      <c r="C450" s="1240"/>
      <c r="D450" s="1240"/>
      <c r="E450" s="1240"/>
    </row>
  </sheetData>
  <mergeCells count="12">
    <mergeCell ref="B450:E450"/>
    <mergeCell ref="B1:E1"/>
    <mergeCell ref="A52:B52"/>
    <mergeCell ref="B66:C66"/>
    <mergeCell ref="A87:B87"/>
    <mergeCell ref="A122:B122"/>
    <mergeCell ref="A152:C152"/>
    <mergeCell ref="A164:B164"/>
    <mergeCell ref="A194:C194"/>
    <mergeCell ref="A252:C252"/>
    <mergeCell ref="A297:C297"/>
    <mergeCell ref="A360:C360"/>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sqref="A1:XFD1048576"/>
    </sheetView>
  </sheetViews>
  <sheetFormatPr defaultRowHeight="14.25"/>
  <cols>
    <col min="1" max="1" width="4.28515625" customWidth="1"/>
    <col min="2" max="2" width="25.140625" customWidth="1"/>
    <col min="3" max="3" width="19.7109375" customWidth="1"/>
    <col min="4" max="4" width="9.5703125" style="447" customWidth="1"/>
    <col min="5" max="5" width="15.42578125" style="831" customWidth="1"/>
    <col min="6" max="6" width="18.28515625" style="831" customWidth="1"/>
    <col min="11" max="11" width="11.7109375" customWidth="1"/>
    <col min="12" max="12" width="24" customWidth="1"/>
    <col min="13" max="13" width="19.7109375" customWidth="1"/>
    <col min="16" max="16" width="19.5703125" customWidth="1"/>
  </cols>
  <sheetData>
    <row r="1" spans="1:17" ht="15.75">
      <c r="A1" s="1650" t="s">
        <v>1805</v>
      </c>
      <c r="B1" s="1650"/>
      <c r="C1" s="1650"/>
      <c r="D1" s="1650"/>
      <c r="E1" s="1650"/>
      <c r="F1" s="1650"/>
    </row>
    <row r="2" spans="1:17" ht="15">
      <c r="A2" s="880"/>
      <c r="B2" s="880"/>
      <c r="C2" s="880"/>
      <c r="D2" s="880"/>
      <c r="E2" s="881"/>
      <c r="F2" s="881"/>
    </row>
    <row r="3" spans="1:17" ht="15">
      <c r="A3" s="839" t="s">
        <v>1755</v>
      </c>
      <c r="B3" s="870"/>
      <c r="C3" s="870"/>
      <c r="D3" s="870"/>
      <c r="E3" s="871"/>
      <c r="F3" s="881"/>
      <c r="K3" s="837"/>
      <c r="L3" s="837"/>
      <c r="M3" s="837"/>
      <c r="N3" s="837"/>
      <c r="O3" s="837"/>
      <c r="P3" s="837"/>
      <c r="Q3" s="837"/>
    </row>
    <row r="4" spans="1:17" ht="15">
      <c r="A4" s="839" t="s">
        <v>1797</v>
      </c>
      <c r="B4" s="870"/>
      <c r="C4" s="870"/>
      <c r="D4" s="870"/>
      <c r="E4" s="871"/>
      <c r="F4" s="881"/>
      <c r="K4" s="837"/>
      <c r="L4" s="837"/>
      <c r="M4" s="837"/>
      <c r="N4" s="837"/>
      <c r="O4" s="837"/>
      <c r="P4" s="837"/>
      <c r="Q4" s="837"/>
    </row>
    <row r="5" spans="1:17" ht="15">
      <c r="A5" s="839" t="s">
        <v>1757</v>
      </c>
      <c r="B5" s="870"/>
      <c r="C5" s="870"/>
      <c r="D5" s="870"/>
      <c r="E5" s="871"/>
      <c r="F5" s="881"/>
      <c r="K5" s="837"/>
      <c r="L5" s="837"/>
      <c r="M5" s="837"/>
      <c r="N5" s="837"/>
      <c r="O5" s="837"/>
      <c r="P5" s="837"/>
      <c r="Q5" s="837"/>
    </row>
    <row r="6" spans="1:17" ht="15">
      <c r="A6" s="839" t="s">
        <v>1758</v>
      </c>
      <c r="B6" s="870"/>
      <c r="C6" s="870"/>
      <c r="D6" s="870"/>
      <c r="E6" s="871"/>
      <c r="F6" s="881"/>
      <c r="K6" s="1625"/>
      <c r="L6" s="1625"/>
      <c r="M6" s="1625"/>
      <c r="N6" s="1625"/>
      <c r="O6" s="1625"/>
      <c r="P6" s="1625"/>
      <c r="Q6" s="837"/>
    </row>
    <row r="7" spans="1:17" ht="15">
      <c r="A7" s="580"/>
      <c r="B7" s="580"/>
      <c r="C7" s="580"/>
      <c r="D7" s="870"/>
      <c r="E7" s="871"/>
      <c r="F7" s="700"/>
      <c r="K7" s="830"/>
      <c r="L7" s="876"/>
      <c r="M7" s="870"/>
      <c r="N7" s="870"/>
      <c r="O7" s="870"/>
      <c r="P7" s="870"/>
      <c r="Q7" s="837"/>
    </row>
    <row r="8" spans="1:17" ht="15">
      <c r="A8" s="882" t="s">
        <v>1</v>
      </c>
      <c r="B8" s="882" t="s">
        <v>1759</v>
      </c>
      <c r="C8" s="882" t="s">
        <v>1760</v>
      </c>
      <c r="D8" s="882" t="s">
        <v>1761</v>
      </c>
      <c r="E8" s="883" t="s">
        <v>404</v>
      </c>
      <c r="F8" s="883" t="s">
        <v>179</v>
      </c>
    </row>
    <row r="9" spans="1:17">
      <c r="A9" s="501">
        <v>1</v>
      </c>
      <c r="B9" s="95" t="s">
        <v>1799</v>
      </c>
      <c r="C9" s="95" t="s">
        <v>1800</v>
      </c>
      <c r="D9" s="501">
        <f>4*2</f>
        <v>8</v>
      </c>
      <c r="E9" s="856">
        <v>20000</v>
      </c>
      <c r="F9" s="856">
        <f>D9*E9</f>
        <v>160000</v>
      </c>
    </row>
    <row r="10" spans="1:17" ht="28.5">
      <c r="A10" s="501">
        <f>+A9+1</f>
        <v>2</v>
      </c>
      <c r="B10" s="95" t="s">
        <v>1766</v>
      </c>
      <c r="C10" s="95" t="s">
        <v>1806</v>
      </c>
      <c r="D10" s="501">
        <f>100*1*2</f>
        <v>200</v>
      </c>
      <c r="E10" s="856">
        <v>4000</v>
      </c>
      <c r="F10" s="856">
        <f>D10*E10</f>
        <v>800000</v>
      </c>
    </row>
    <row r="11" spans="1:17" ht="28.5">
      <c r="A11" s="501">
        <f t="shared" ref="A11:A17" si="0">+A10+1</f>
        <v>3</v>
      </c>
      <c r="B11" s="95" t="s">
        <v>1802</v>
      </c>
      <c r="C11" s="95" t="s">
        <v>1807</v>
      </c>
      <c r="D11" s="501">
        <v>100</v>
      </c>
      <c r="E11" s="856">
        <v>10000</v>
      </c>
      <c r="F11" s="856">
        <f>D11*E11</f>
        <v>1000000</v>
      </c>
    </row>
    <row r="12" spans="1:17" ht="28.5">
      <c r="A12" s="501">
        <f t="shared" si="0"/>
        <v>4</v>
      </c>
      <c r="B12" s="95" t="s">
        <v>1768</v>
      </c>
      <c r="C12" s="95" t="s">
        <v>1808</v>
      </c>
      <c r="D12" s="501">
        <v>100</v>
      </c>
      <c r="E12" s="856">
        <v>3000</v>
      </c>
      <c r="F12" s="856">
        <f>D12*E12</f>
        <v>300000</v>
      </c>
    </row>
    <row r="13" spans="1:17" ht="28.5">
      <c r="A13" s="501">
        <f t="shared" si="0"/>
        <v>5</v>
      </c>
      <c r="B13" s="95" t="s">
        <v>1772</v>
      </c>
      <c r="C13" s="95" t="s">
        <v>1773</v>
      </c>
      <c r="D13" s="501">
        <f>100*50</f>
        <v>5000</v>
      </c>
      <c r="E13" s="856">
        <v>50</v>
      </c>
      <c r="F13" s="856">
        <f>D13*E13</f>
        <v>250000</v>
      </c>
    </row>
    <row r="14" spans="1:17" ht="28.5">
      <c r="A14" s="501">
        <f t="shared" si="0"/>
        <v>6</v>
      </c>
      <c r="B14" s="95" t="s">
        <v>1774</v>
      </c>
      <c r="C14" s="95" t="s">
        <v>1775</v>
      </c>
      <c r="D14" s="501">
        <v>1</v>
      </c>
      <c r="E14" s="856">
        <v>40000</v>
      </c>
      <c r="F14" s="856">
        <v>40000</v>
      </c>
    </row>
    <row r="15" spans="1:17">
      <c r="A15" s="501">
        <f t="shared" si="0"/>
        <v>7</v>
      </c>
      <c r="B15" s="95" t="s">
        <v>1776</v>
      </c>
      <c r="C15" s="95" t="s">
        <v>1777</v>
      </c>
      <c r="D15" s="501">
        <v>3</v>
      </c>
      <c r="E15" s="856">
        <v>10000</v>
      </c>
      <c r="F15" s="856">
        <v>30000</v>
      </c>
    </row>
    <row r="16" spans="1:17">
      <c r="A16" s="501">
        <f t="shared" si="0"/>
        <v>8</v>
      </c>
      <c r="B16" s="95" t="s">
        <v>1778</v>
      </c>
      <c r="C16" s="95" t="s">
        <v>1777</v>
      </c>
      <c r="D16" s="501">
        <v>3</v>
      </c>
      <c r="E16" s="856">
        <v>6000</v>
      </c>
      <c r="F16" s="856">
        <v>18000</v>
      </c>
    </row>
    <row r="17" spans="1:9" ht="28.5">
      <c r="A17" s="501">
        <f t="shared" si="0"/>
        <v>9</v>
      </c>
      <c r="B17" s="95" t="s">
        <v>1779</v>
      </c>
      <c r="C17" s="95"/>
      <c r="D17" s="501"/>
      <c r="E17" s="856"/>
      <c r="F17" s="856">
        <v>100000</v>
      </c>
    </row>
    <row r="18" spans="1:9" ht="15">
      <c r="A18" s="501"/>
      <c r="B18" s="885" t="s">
        <v>284</v>
      </c>
      <c r="C18" s="95"/>
      <c r="D18" s="501"/>
      <c r="E18" s="856"/>
      <c r="F18" s="886">
        <f>SUM(F9:F17)</f>
        <v>2698000</v>
      </c>
    </row>
    <row r="19" spans="1:9" s="837" customFormat="1" ht="15">
      <c r="A19" s="621"/>
      <c r="B19" s="887"/>
      <c r="C19" s="621"/>
      <c r="D19" s="695"/>
      <c r="E19" s="680"/>
      <c r="F19" s="697"/>
      <c r="G19" s="621"/>
      <c r="H19" s="621"/>
      <c r="I19" s="621"/>
    </row>
  </sheetData>
  <mergeCells count="2">
    <mergeCell ref="A1:F1"/>
    <mergeCell ref="K6:P6"/>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F23" sqref="F23"/>
    </sheetView>
  </sheetViews>
  <sheetFormatPr defaultRowHeight="14.25"/>
  <cols>
    <col min="1" max="1" width="4.28515625" style="580" customWidth="1"/>
    <col min="2" max="2" width="23.85546875" style="580" customWidth="1"/>
    <col min="3" max="3" width="15.28515625" style="580" customWidth="1"/>
    <col min="4" max="4" width="9.5703125" style="698" customWidth="1"/>
    <col min="5" max="5" width="11.28515625" style="700" customWidth="1"/>
    <col min="6" max="6" width="14.28515625" style="700" customWidth="1"/>
    <col min="7" max="7" width="9.5703125" style="700" hidden="1" customWidth="1"/>
    <col min="8" max="8" width="19.42578125" style="700" customWidth="1"/>
    <col min="9" max="10" width="9.140625" style="580"/>
    <col min="11" max="11" width="11.7109375" style="580" customWidth="1"/>
    <col min="12" max="12" width="24" style="580" customWidth="1"/>
    <col min="13" max="13" width="19.7109375" style="580" customWidth="1"/>
    <col min="14" max="15" width="9.140625" style="580"/>
    <col min="16" max="16" width="19.5703125" style="580" customWidth="1"/>
    <col min="17" max="16384" width="9.140625" style="580"/>
  </cols>
  <sheetData>
    <row r="1" spans="1:8" ht="15">
      <c r="A1" s="1656" t="s">
        <v>1809</v>
      </c>
      <c r="B1" s="1656"/>
      <c r="C1" s="1656"/>
      <c r="D1" s="1656"/>
      <c r="E1" s="1656"/>
      <c r="F1" s="1656"/>
    </row>
    <row r="2" spans="1:8">
      <c r="A2" s="888"/>
      <c r="B2" s="888"/>
      <c r="C2" s="888"/>
      <c r="D2" s="888"/>
      <c r="E2" s="898"/>
      <c r="F2" s="898"/>
    </row>
    <row r="5" spans="1:8">
      <c r="A5" s="899" t="s">
        <v>1810</v>
      </c>
      <c r="D5" s="580"/>
    </row>
    <row r="6" spans="1:8">
      <c r="A6" s="899" t="s">
        <v>1811</v>
      </c>
      <c r="D6" s="580"/>
    </row>
    <row r="7" spans="1:8">
      <c r="A7" s="899" t="s">
        <v>1812</v>
      </c>
      <c r="D7" s="580"/>
    </row>
    <row r="8" spans="1:8">
      <c r="A8" s="1657"/>
      <c r="B8" s="1657"/>
      <c r="C8" s="1657"/>
      <c r="D8" s="1657"/>
      <c r="E8" s="1657"/>
      <c r="F8" s="1657"/>
    </row>
    <row r="9" spans="1:8" ht="45">
      <c r="A9" s="825" t="s">
        <v>1</v>
      </c>
      <c r="B9" s="825" t="s">
        <v>338</v>
      </c>
      <c r="C9" s="825" t="s">
        <v>403</v>
      </c>
      <c r="D9" s="825" t="s">
        <v>315</v>
      </c>
      <c r="E9" s="820" t="s">
        <v>166</v>
      </c>
      <c r="F9" s="820" t="s">
        <v>179</v>
      </c>
      <c r="G9" s="896"/>
      <c r="H9" s="820" t="s">
        <v>1813</v>
      </c>
    </row>
    <row r="10" spans="1:8">
      <c r="A10" s="501">
        <v>1</v>
      </c>
      <c r="B10" s="95" t="s">
        <v>1814</v>
      </c>
      <c r="C10" s="501" t="s">
        <v>525</v>
      </c>
      <c r="D10" s="501">
        <v>2</v>
      </c>
      <c r="E10" s="838">
        <v>1000</v>
      </c>
      <c r="F10" s="838">
        <f>D10*E10</f>
        <v>2000</v>
      </c>
      <c r="G10" s="896">
        <v>2470</v>
      </c>
      <c r="H10" s="896">
        <f>+F10*G10</f>
        <v>4940000</v>
      </c>
    </row>
    <row r="11" spans="1:8">
      <c r="A11" s="501">
        <v>2</v>
      </c>
      <c r="B11" s="95" t="s">
        <v>961</v>
      </c>
      <c r="C11" s="501" t="s">
        <v>1815</v>
      </c>
      <c r="D11" s="501">
        <v>2</v>
      </c>
      <c r="E11" s="838">
        <v>700</v>
      </c>
      <c r="F11" s="838">
        <f t="shared" ref="F11:F13" si="0">D11*E11</f>
        <v>1400</v>
      </c>
      <c r="G11" s="896">
        <v>2470</v>
      </c>
      <c r="H11" s="896">
        <f t="shared" ref="H11:H13" si="1">+F11*G11</f>
        <v>3458000</v>
      </c>
    </row>
    <row r="12" spans="1:8">
      <c r="A12" s="501">
        <v>3</v>
      </c>
      <c r="B12" s="95" t="s">
        <v>1816</v>
      </c>
      <c r="C12" s="501" t="s">
        <v>1817</v>
      </c>
      <c r="D12" s="501">
        <v>30</v>
      </c>
      <c r="E12" s="838">
        <v>200</v>
      </c>
      <c r="F12" s="838">
        <f t="shared" si="0"/>
        <v>6000</v>
      </c>
      <c r="G12" s="896">
        <v>2470</v>
      </c>
      <c r="H12" s="896">
        <f t="shared" si="1"/>
        <v>14820000</v>
      </c>
    </row>
    <row r="13" spans="1:8">
      <c r="A13" s="501">
        <v>4</v>
      </c>
      <c r="B13" s="95" t="s">
        <v>1818</v>
      </c>
      <c r="C13" s="501" t="s">
        <v>1817</v>
      </c>
      <c r="D13" s="501">
        <v>30</v>
      </c>
      <c r="E13" s="838">
        <v>60</v>
      </c>
      <c r="F13" s="838">
        <f t="shared" si="0"/>
        <v>1800</v>
      </c>
      <c r="G13" s="896">
        <v>2470</v>
      </c>
      <c r="H13" s="896">
        <f t="shared" si="1"/>
        <v>4446000</v>
      </c>
    </row>
    <row r="14" spans="1:8" ht="15">
      <c r="A14" s="1263" t="s">
        <v>156</v>
      </c>
      <c r="B14" s="1263"/>
      <c r="C14" s="1263"/>
      <c r="D14" s="1263"/>
      <c r="E14" s="1263"/>
      <c r="F14" s="820">
        <f>SUM(F10:F13)</f>
        <v>11200</v>
      </c>
      <c r="G14" s="896"/>
      <c r="H14" s="820">
        <f>SUM(H10:H13)</f>
        <v>27664000</v>
      </c>
    </row>
  </sheetData>
  <mergeCells count="3">
    <mergeCell ref="A1:F1"/>
    <mergeCell ref="A8:F8"/>
    <mergeCell ref="A14:E14"/>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workbookViewId="0">
      <selection activeCell="E7" sqref="E7"/>
    </sheetView>
  </sheetViews>
  <sheetFormatPr defaultRowHeight="14.25"/>
  <cols>
    <col min="1" max="1" width="4.28515625" customWidth="1"/>
    <col min="2" max="2" width="25.140625" customWidth="1"/>
    <col min="3" max="3" width="19.7109375" customWidth="1"/>
    <col min="4" max="4" width="9.5703125" style="447" customWidth="1"/>
    <col min="5" max="5" width="13" style="831" customWidth="1"/>
    <col min="6" max="6" width="20.140625" style="831" customWidth="1"/>
    <col min="11" max="11" width="11.7109375" customWidth="1"/>
    <col min="12" max="12" width="24" customWidth="1"/>
    <col min="13" max="13" width="19.7109375" customWidth="1"/>
    <col min="16" max="16" width="19.5703125" customWidth="1"/>
  </cols>
  <sheetData>
    <row r="1" spans="1:17" ht="15.75">
      <c r="A1" s="1650" t="s">
        <v>1819</v>
      </c>
      <c r="B1" s="1650"/>
      <c r="C1" s="1650"/>
      <c r="D1" s="1650"/>
      <c r="E1" s="1650"/>
      <c r="F1" s="1650"/>
    </row>
    <row r="2" spans="1:17" ht="15">
      <c r="A2" s="880"/>
      <c r="B2" s="880"/>
      <c r="C2" s="880"/>
      <c r="D2" s="880"/>
      <c r="E2" s="881"/>
      <c r="F2" s="881"/>
    </row>
    <row r="3" spans="1:17" ht="15">
      <c r="A3" s="1651" t="s">
        <v>1820</v>
      </c>
      <c r="B3" s="1651"/>
      <c r="C3" s="1651"/>
      <c r="D3" s="1651"/>
      <c r="E3" s="1651"/>
      <c r="F3" s="1651"/>
      <c r="K3" s="837"/>
      <c r="L3" s="837"/>
      <c r="M3" s="837"/>
      <c r="N3" s="837"/>
      <c r="O3" s="837"/>
      <c r="P3" s="837"/>
      <c r="Q3" s="837"/>
    </row>
    <row r="4" spans="1:17" ht="15">
      <c r="A4" s="839" t="s">
        <v>1755</v>
      </c>
      <c r="B4" s="870"/>
      <c r="C4" s="870"/>
      <c r="D4" s="870"/>
      <c r="E4" s="871"/>
      <c r="F4" s="881"/>
      <c r="K4" s="837"/>
      <c r="L4" s="837"/>
      <c r="M4" s="837"/>
      <c r="N4" s="837"/>
      <c r="O4" s="837"/>
      <c r="P4" s="837"/>
      <c r="Q4" s="837"/>
    </row>
    <row r="5" spans="1:17" ht="15">
      <c r="A5" s="839" t="s">
        <v>1756</v>
      </c>
      <c r="B5" s="870"/>
      <c r="C5" s="870"/>
      <c r="D5" s="870"/>
      <c r="E5" s="871"/>
      <c r="F5" s="881"/>
      <c r="K5" s="837"/>
      <c r="L5" s="837"/>
      <c r="M5" s="837"/>
      <c r="N5" s="837"/>
      <c r="O5" s="837"/>
      <c r="P5" s="837"/>
      <c r="Q5" s="837"/>
    </row>
    <row r="6" spans="1:17" ht="15">
      <c r="A6" s="839" t="s">
        <v>1821</v>
      </c>
      <c r="B6" s="870"/>
      <c r="C6" s="870"/>
      <c r="D6" s="870"/>
      <c r="E6" s="871"/>
      <c r="F6" s="881"/>
      <c r="K6" s="837"/>
      <c r="L6" s="837"/>
      <c r="M6" s="837"/>
      <c r="N6" s="837"/>
      <c r="O6" s="837"/>
      <c r="P6" s="837"/>
      <c r="Q6" s="837"/>
    </row>
    <row r="7" spans="1:17" ht="15">
      <c r="A7" s="839" t="s">
        <v>1822</v>
      </c>
      <c r="B7" s="870"/>
      <c r="C7" s="870"/>
      <c r="D7" s="870"/>
      <c r="E7" s="871"/>
      <c r="F7" s="881"/>
      <c r="K7" s="1625"/>
      <c r="L7" s="1625"/>
      <c r="M7" s="1625"/>
      <c r="N7" s="1625"/>
      <c r="O7" s="1625"/>
      <c r="P7" s="1625"/>
      <c r="Q7" s="837"/>
    </row>
    <row r="8" spans="1:17" ht="15">
      <c r="A8" s="580"/>
      <c r="B8" s="580"/>
      <c r="C8" s="580"/>
      <c r="D8" s="870"/>
      <c r="E8" s="871"/>
      <c r="F8" s="700"/>
      <c r="K8" s="830"/>
      <c r="L8" s="876"/>
      <c r="M8" s="870"/>
      <c r="N8" s="870"/>
      <c r="O8" s="870"/>
      <c r="P8" s="870"/>
      <c r="Q8" s="837"/>
    </row>
    <row r="9" spans="1:17" ht="30">
      <c r="A9" s="892" t="s">
        <v>1</v>
      </c>
      <c r="B9" s="893" t="s">
        <v>398</v>
      </c>
      <c r="C9" s="893" t="s">
        <v>403</v>
      </c>
      <c r="D9" s="893" t="s">
        <v>327</v>
      </c>
      <c r="E9" s="894" t="s">
        <v>166</v>
      </c>
      <c r="F9" s="894" t="s">
        <v>316</v>
      </c>
      <c r="K9" s="830"/>
      <c r="L9" s="876"/>
      <c r="M9" s="870"/>
      <c r="N9" s="870"/>
      <c r="O9" s="870"/>
      <c r="P9" s="870"/>
      <c r="Q9" s="837"/>
    </row>
    <row r="10" spans="1:17" ht="15">
      <c r="A10" s="1660">
        <v>1</v>
      </c>
      <c r="B10" s="1658" t="s">
        <v>1823</v>
      </c>
      <c r="C10" s="1661" t="s">
        <v>1785</v>
      </c>
      <c r="D10" s="1658">
        <v>24</v>
      </c>
      <c r="E10" s="895">
        <v>10000</v>
      </c>
      <c r="F10" s="1654">
        <f>8*10000+16*20000</f>
        <v>400000</v>
      </c>
      <c r="K10" s="870"/>
      <c r="L10" s="876"/>
      <c r="M10" s="870"/>
      <c r="N10" s="870"/>
      <c r="O10" s="870"/>
      <c r="P10" s="870"/>
      <c r="Q10" s="837"/>
    </row>
    <row r="11" spans="1:17" ht="15">
      <c r="A11" s="1660"/>
      <c r="B11" s="1658"/>
      <c r="C11" s="1661"/>
      <c r="D11" s="1658"/>
      <c r="E11" s="895">
        <v>20000</v>
      </c>
      <c r="F11" s="1655"/>
      <c r="K11" s="870"/>
      <c r="L11" s="876"/>
      <c r="M11" s="870"/>
      <c r="N11" s="870"/>
      <c r="O11" s="870"/>
      <c r="P11" s="870"/>
      <c r="Q11" s="837"/>
    </row>
    <row r="12" spans="1:17" ht="15">
      <c r="A12" s="686">
        <v>2</v>
      </c>
      <c r="B12" s="693" t="s">
        <v>1786</v>
      </c>
      <c r="C12" s="685" t="s">
        <v>1651</v>
      </c>
      <c r="D12" s="685">
        <v>240</v>
      </c>
      <c r="E12" s="895">
        <v>3000</v>
      </c>
      <c r="F12" s="895">
        <f t="shared" ref="F12:F17" si="0">D12*E12</f>
        <v>720000</v>
      </c>
      <c r="K12" s="870"/>
      <c r="L12" s="870"/>
      <c r="M12" s="870"/>
      <c r="N12" s="870"/>
      <c r="O12" s="870"/>
      <c r="P12" s="870"/>
      <c r="Q12" s="837"/>
    </row>
    <row r="13" spans="1:17" ht="15">
      <c r="A13" s="686">
        <v>3</v>
      </c>
      <c r="B13" s="693" t="s">
        <v>1787</v>
      </c>
      <c r="C13" s="685" t="s">
        <v>317</v>
      </c>
      <c r="D13" s="685">
        <v>80</v>
      </c>
      <c r="E13" s="895">
        <v>2000</v>
      </c>
      <c r="F13" s="895">
        <f t="shared" si="0"/>
        <v>160000</v>
      </c>
      <c r="K13" s="1625"/>
      <c r="L13" s="1625"/>
      <c r="M13" s="1625"/>
      <c r="N13" s="1625"/>
      <c r="O13" s="1625"/>
      <c r="P13" s="1625"/>
      <c r="Q13" s="837"/>
    </row>
    <row r="14" spans="1:17" ht="15.75">
      <c r="A14" s="686">
        <v>4</v>
      </c>
      <c r="B14" s="693" t="s">
        <v>1776</v>
      </c>
      <c r="C14" s="685" t="s">
        <v>1788</v>
      </c>
      <c r="D14" s="685">
        <v>6</v>
      </c>
      <c r="E14" s="895">
        <v>10000</v>
      </c>
      <c r="F14" s="895">
        <f t="shared" si="0"/>
        <v>60000</v>
      </c>
      <c r="K14" s="900"/>
      <c r="L14" s="900"/>
      <c r="M14" s="900"/>
      <c r="N14" s="900"/>
      <c r="O14" s="900"/>
      <c r="P14" s="900"/>
      <c r="Q14" s="837"/>
    </row>
    <row r="15" spans="1:17" ht="28.5">
      <c r="A15" s="686">
        <v>5</v>
      </c>
      <c r="B15" s="686" t="s">
        <v>1789</v>
      </c>
      <c r="C15" s="685" t="s">
        <v>317</v>
      </c>
      <c r="D15" s="685">
        <v>80</v>
      </c>
      <c r="E15" s="895">
        <v>2000</v>
      </c>
      <c r="F15" s="895">
        <f t="shared" si="0"/>
        <v>160000</v>
      </c>
      <c r="K15" s="681"/>
      <c r="L15" s="901"/>
      <c r="M15" s="901"/>
      <c r="N15" s="902"/>
      <c r="O15" s="902"/>
      <c r="P15" s="903"/>
      <c r="Q15" s="837"/>
    </row>
    <row r="16" spans="1:17" ht="28.5">
      <c r="A16" s="686">
        <v>6</v>
      </c>
      <c r="B16" s="686" t="s">
        <v>1790</v>
      </c>
      <c r="C16" s="685" t="s">
        <v>317</v>
      </c>
      <c r="D16" s="685">
        <v>80</v>
      </c>
      <c r="E16" s="895">
        <v>15000</v>
      </c>
      <c r="F16" s="895">
        <f t="shared" si="0"/>
        <v>1200000</v>
      </c>
      <c r="K16" s="681"/>
      <c r="L16" s="901"/>
      <c r="M16" s="901"/>
      <c r="N16" s="902"/>
      <c r="O16" s="904"/>
      <c r="P16" s="904"/>
      <c r="Q16" s="837"/>
    </row>
    <row r="17" spans="1:17" ht="15">
      <c r="A17" s="686">
        <v>7</v>
      </c>
      <c r="B17" s="693" t="s">
        <v>1791</v>
      </c>
      <c r="C17" s="685" t="s">
        <v>1785</v>
      </c>
      <c r="D17" s="685">
        <v>24</v>
      </c>
      <c r="E17" s="895">
        <v>40000</v>
      </c>
      <c r="F17" s="895">
        <f t="shared" si="0"/>
        <v>960000</v>
      </c>
      <c r="K17" s="681"/>
      <c r="L17" s="901"/>
      <c r="M17" s="901"/>
      <c r="N17" s="902"/>
      <c r="O17" s="904"/>
      <c r="P17" s="904"/>
      <c r="Q17" s="837"/>
    </row>
    <row r="18" spans="1:17" ht="15">
      <c r="A18" s="686">
        <v>8</v>
      </c>
      <c r="B18" s="686" t="s">
        <v>1792</v>
      </c>
      <c r="C18" s="685" t="s">
        <v>317</v>
      </c>
      <c r="D18" s="685">
        <v>1</v>
      </c>
      <c r="E18" s="895">
        <v>40000</v>
      </c>
      <c r="F18" s="895">
        <v>50000</v>
      </c>
      <c r="K18" s="681"/>
      <c r="L18" s="901"/>
      <c r="M18" s="901"/>
      <c r="N18" s="902"/>
      <c r="O18" s="904"/>
      <c r="P18" s="904"/>
      <c r="Q18" s="837"/>
    </row>
    <row r="19" spans="1:17" ht="15">
      <c r="A19" s="734">
        <v>9</v>
      </c>
      <c r="B19" s="686" t="s">
        <v>1793</v>
      </c>
      <c r="C19" s="685" t="s">
        <v>317</v>
      </c>
      <c r="D19" s="685">
        <v>80</v>
      </c>
      <c r="E19" s="895">
        <v>2000</v>
      </c>
      <c r="F19" s="895">
        <f>D19*E19</f>
        <v>160000</v>
      </c>
      <c r="K19" s="681"/>
      <c r="L19" s="901"/>
      <c r="M19" s="901"/>
      <c r="N19" s="902"/>
      <c r="O19" s="904"/>
      <c r="P19" s="904"/>
      <c r="Q19" s="837"/>
    </row>
    <row r="20" spans="1:17" ht="15">
      <c r="A20" s="686">
        <v>10</v>
      </c>
      <c r="B20" s="686" t="s">
        <v>1794</v>
      </c>
      <c r="C20" s="22"/>
      <c r="D20" s="22"/>
      <c r="E20" s="896"/>
      <c r="F20" s="896">
        <v>40000</v>
      </c>
    </row>
    <row r="21" spans="1:17">
      <c r="A21" s="1658" t="s">
        <v>1795</v>
      </c>
      <c r="B21" s="1658"/>
      <c r="C21" s="1658"/>
      <c r="D21" s="1658"/>
      <c r="E21" s="1658"/>
      <c r="F21" s="895">
        <f>(F10+F14)*11/100</f>
        <v>50600</v>
      </c>
    </row>
    <row r="22" spans="1:17" ht="15">
      <c r="A22" s="1649" t="s">
        <v>174</v>
      </c>
      <c r="B22" s="1649"/>
      <c r="C22" s="1649"/>
      <c r="D22" s="1649"/>
      <c r="E22" s="1649"/>
      <c r="F22" s="897">
        <f>SUM(F10:F21)</f>
        <v>3960600</v>
      </c>
      <c r="K22" s="681"/>
      <c r="L22" s="901"/>
      <c r="M22" s="901"/>
      <c r="N22" s="902"/>
      <c r="O22" s="904"/>
      <c r="P22" s="904"/>
      <c r="Q22" s="837"/>
    </row>
    <row r="23" spans="1:17" ht="15" customHeight="1">
      <c r="D23"/>
      <c r="K23" s="681"/>
      <c r="L23" s="901"/>
      <c r="M23" s="901"/>
      <c r="N23" s="902"/>
      <c r="O23" s="904"/>
      <c r="P23" s="904"/>
      <c r="Q23" s="837"/>
    </row>
    <row r="24" spans="1:17" s="186" customFormat="1" ht="15">
      <c r="A24" s="1651" t="s">
        <v>1824</v>
      </c>
      <c r="B24" s="1651"/>
      <c r="C24" s="1651"/>
      <c r="D24" s="1651"/>
      <c r="E24" s="1651"/>
      <c r="F24" s="1651"/>
      <c r="K24" s="703"/>
      <c r="L24" s="736"/>
      <c r="M24" s="736"/>
      <c r="N24" s="905"/>
      <c r="O24" s="906"/>
      <c r="P24" s="906"/>
      <c r="Q24" s="907"/>
    </row>
    <row r="25" spans="1:17" ht="15">
      <c r="A25" s="876" t="s">
        <v>1755</v>
      </c>
      <c r="B25" s="870"/>
      <c r="C25" s="880"/>
      <c r="D25" s="880"/>
      <c r="E25" s="881"/>
      <c r="F25" s="881"/>
      <c r="K25" s="681"/>
      <c r="L25" s="901"/>
      <c r="M25" s="901"/>
      <c r="N25" s="902"/>
      <c r="O25" s="902"/>
      <c r="P25" s="904"/>
      <c r="Q25" s="837"/>
    </row>
    <row r="26" spans="1:17" ht="15.75">
      <c r="A26" s="876" t="s">
        <v>1756</v>
      </c>
      <c r="B26" s="870"/>
      <c r="C26" s="880"/>
      <c r="D26" s="880"/>
      <c r="E26" s="881"/>
      <c r="F26" s="881"/>
      <c r="K26" s="681"/>
      <c r="L26" s="908"/>
      <c r="M26" s="901"/>
      <c r="N26" s="902"/>
      <c r="O26" s="902"/>
      <c r="P26" s="909"/>
      <c r="Q26" s="837"/>
    </row>
    <row r="27" spans="1:17" ht="15.75">
      <c r="A27" s="876" t="s">
        <v>1821</v>
      </c>
      <c r="B27" s="870"/>
      <c r="C27" s="880"/>
      <c r="D27" s="880"/>
      <c r="E27" s="881"/>
      <c r="F27" s="881"/>
      <c r="K27" s="910"/>
      <c r="L27" s="837"/>
      <c r="M27" s="837"/>
      <c r="N27" s="837"/>
      <c r="O27" s="837"/>
      <c r="P27" s="837"/>
      <c r="Q27" s="837"/>
    </row>
    <row r="28" spans="1:17" ht="15">
      <c r="A28" s="876" t="s">
        <v>1825</v>
      </c>
      <c r="B28" s="870"/>
      <c r="C28" s="880"/>
      <c r="D28" s="880"/>
      <c r="E28" s="881"/>
      <c r="F28" s="881"/>
      <c r="K28" s="1659"/>
      <c r="L28" s="1659"/>
      <c r="M28" s="1659"/>
      <c r="N28" s="1659"/>
      <c r="O28" s="1659"/>
      <c r="P28" s="1659"/>
      <c r="Q28" s="837"/>
    </row>
    <row r="29" spans="1:17" ht="15">
      <c r="A29" s="911"/>
      <c r="B29" s="911"/>
      <c r="C29" s="911"/>
      <c r="D29" s="911"/>
      <c r="E29" s="912"/>
      <c r="F29" s="912"/>
      <c r="K29" s="913"/>
      <c r="L29" s="913"/>
      <c r="M29" s="913"/>
      <c r="N29" s="913"/>
      <c r="O29" s="913"/>
      <c r="P29" s="913"/>
      <c r="Q29" s="837"/>
    </row>
    <row r="30" spans="1:17" ht="30">
      <c r="A30" s="892" t="s">
        <v>1</v>
      </c>
      <c r="B30" s="893" t="s">
        <v>398</v>
      </c>
      <c r="C30" s="893" t="s">
        <v>403</v>
      </c>
      <c r="D30" s="893" t="s">
        <v>327</v>
      </c>
      <c r="E30" s="894" t="s">
        <v>166</v>
      </c>
      <c r="F30" s="894" t="s">
        <v>316</v>
      </c>
      <c r="K30" s="914"/>
      <c r="L30" s="914"/>
      <c r="M30" s="914"/>
      <c r="N30" s="914"/>
      <c r="O30" s="914"/>
      <c r="P30" s="914"/>
      <c r="Q30" s="915"/>
    </row>
    <row r="31" spans="1:17">
      <c r="A31" s="1660">
        <v>1</v>
      </c>
      <c r="B31" s="1658" t="s">
        <v>1823</v>
      </c>
      <c r="C31" s="1661" t="s">
        <v>1785</v>
      </c>
      <c r="D31" s="1658">
        <v>24</v>
      </c>
      <c r="E31" s="895">
        <v>10000</v>
      </c>
      <c r="F31" s="1654">
        <f>8*10000+16*20000</f>
        <v>400000</v>
      </c>
      <c r="K31" s="677"/>
      <c r="L31" s="676"/>
      <c r="M31" s="676"/>
      <c r="N31" s="916"/>
      <c r="O31" s="917"/>
      <c r="P31" s="917"/>
      <c r="Q31" s="837"/>
    </row>
    <row r="32" spans="1:17">
      <c r="A32" s="1660"/>
      <c r="B32" s="1658"/>
      <c r="C32" s="1661"/>
      <c r="D32" s="1658"/>
      <c r="E32" s="895">
        <v>20000</v>
      </c>
      <c r="F32" s="1655"/>
      <c r="K32" s="677"/>
      <c r="L32" s="676"/>
      <c r="M32" s="676"/>
      <c r="N32" s="916"/>
      <c r="O32" s="917"/>
      <c r="P32" s="917"/>
      <c r="Q32" s="837"/>
    </row>
    <row r="33" spans="1:17">
      <c r="A33" s="686">
        <v>2</v>
      </c>
      <c r="B33" s="693" t="s">
        <v>1786</v>
      </c>
      <c r="C33" s="685" t="s">
        <v>1651</v>
      </c>
      <c r="D33" s="685">
        <v>240</v>
      </c>
      <c r="E33" s="895">
        <v>3000</v>
      </c>
      <c r="F33" s="895">
        <f t="shared" ref="F33:F38" si="1">D33*E33</f>
        <v>720000</v>
      </c>
      <c r="K33" s="677"/>
      <c r="L33" s="676"/>
      <c r="M33" s="676"/>
      <c r="N33" s="916"/>
      <c r="O33" s="917"/>
      <c r="P33" s="917"/>
      <c r="Q33" s="837"/>
    </row>
    <row r="34" spans="1:17">
      <c r="A34" s="686">
        <v>3</v>
      </c>
      <c r="B34" s="693" t="s">
        <v>1787</v>
      </c>
      <c r="C34" s="685" t="s">
        <v>317</v>
      </c>
      <c r="D34" s="685">
        <v>80</v>
      </c>
      <c r="E34" s="895">
        <v>2000</v>
      </c>
      <c r="F34" s="895">
        <f t="shared" si="1"/>
        <v>160000</v>
      </c>
      <c r="K34" s="677"/>
      <c r="L34" s="676"/>
      <c r="M34" s="676"/>
      <c r="N34" s="916"/>
      <c r="O34" s="917"/>
      <c r="P34" s="917"/>
      <c r="Q34" s="837"/>
    </row>
    <row r="35" spans="1:17">
      <c r="A35" s="686">
        <v>4</v>
      </c>
      <c r="B35" s="693" t="s">
        <v>1776</v>
      </c>
      <c r="C35" s="685" t="s">
        <v>1788</v>
      </c>
      <c r="D35" s="685">
        <v>6</v>
      </c>
      <c r="E35" s="895">
        <v>10000</v>
      </c>
      <c r="F35" s="895">
        <f t="shared" si="1"/>
        <v>60000</v>
      </c>
      <c r="K35" s="677"/>
      <c r="L35" s="676"/>
      <c r="M35" s="676"/>
      <c r="N35" s="916"/>
      <c r="O35" s="916"/>
      <c r="P35" s="917"/>
      <c r="Q35" s="837"/>
    </row>
    <row r="36" spans="1:17" ht="28.5">
      <c r="A36" s="686">
        <v>5</v>
      </c>
      <c r="B36" s="686" t="s">
        <v>1789</v>
      </c>
      <c r="C36" s="685" t="s">
        <v>317</v>
      </c>
      <c r="D36" s="685">
        <v>80</v>
      </c>
      <c r="E36" s="895">
        <v>2000</v>
      </c>
      <c r="F36" s="895">
        <f t="shared" si="1"/>
        <v>160000</v>
      </c>
      <c r="K36" s="677"/>
      <c r="L36" s="676"/>
      <c r="M36" s="676"/>
      <c r="N36" s="916"/>
      <c r="O36" s="917"/>
      <c r="P36" s="917"/>
      <c r="Q36" s="837"/>
    </row>
    <row r="37" spans="1:17" ht="28.5">
      <c r="A37" s="686">
        <v>6</v>
      </c>
      <c r="B37" s="686" t="s">
        <v>1790</v>
      </c>
      <c r="C37" s="685" t="s">
        <v>317</v>
      </c>
      <c r="D37" s="685">
        <v>80</v>
      </c>
      <c r="E37" s="895">
        <v>15000</v>
      </c>
      <c r="F37" s="895">
        <f t="shared" si="1"/>
        <v>1200000</v>
      </c>
      <c r="K37" s="677"/>
      <c r="L37" s="676"/>
      <c r="M37" s="676"/>
      <c r="N37" s="916"/>
      <c r="O37" s="917"/>
      <c r="P37" s="917"/>
      <c r="Q37" s="837"/>
    </row>
    <row r="38" spans="1:17">
      <c r="A38" s="686">
        <v>7</v>
      </c>
      <c r="B38" s="693" t="s">
        <v>1791</v>
      </c>
      <c r="C38" s="685" t="s">
        <v>1785</v>
      </c>
      <c r="D38" s="685">
        <v>24</v>
      </c>
      <c r="E38" s="895">
        <v>40000</v>
      </c>
      <c r="F38" s="895">
        <f t="shared" si="1"/>
        <v>960000</v>
      </c>
      <c r="K38" s="677"/>
      <c r="L38" s="676"/>
      <c r="M38" s="676"/>
      <c r="N38" s="916"/>
      <c r="O38" s="916"/>
      <c r="P38" s="917"/>
      <c r="Q38" s="837"/>
    </row>
    <row r="39" spans="1:17" ht="15">
      <c r="A39" s="686">
        <v>8</v>
      </c>
      <c r="B39" s="686" t="s">
        <v>1792</v>
      </c>
      <c r="C39" s="685" t="s">
        <v>317</v>
      </c>
      <c r="D39" s="685">
        <v>1</v>
      </c>
      <c r="E39" s="895">
        <v>40000</v>
      </c>
      <c r="F39" s="895">
        <v>50000</v>
      </c>
      <c r="K39" s="677"/>
      <c r="L39" s="918"/>
      <c r="M39" s="676"/>
      <c r="N39" s="916"/>
      <c r="O39" s="916"/>
      <c r="P39" s="919"/>
      <c r="Q39" s="837"/>
    </row>
    <row r="40" spans="1:17">
      <c r="A40" s="734">
        <v>9</v>
      </c>
      <c r="B40" s="686" t="s">
        <v>1793</v>
      </c>
      <c r="C40" s="685" t="s">
        <v>317</v>
      </c>
      <c r="D40" s="685">
        <v>80</v>
      </c>
      <c r="E40" s="895">
        <v>2000</v>
      </c>
      <c r="F40" s="895">
        <f>D40*E40</f>
        <v>160000</v>
      </c>
      <c r="K40" s="837"/>
      <c r="L40" s="837"/>
      <c r="M40" s="837"/>
      <c r="N40" s="837"/>
      <c r="O40" s="837"/>
      <c r="P40" s="837"/>
      <c r="Q40" s="837"/>
    </row>
    <row r="41" spans="1:17" ht="15">
      <c r="A41" s="686">
        <v>10</v>
      </c>
      <c r="B41" s="686" t="s">
        <v>1794</v>
      </c>
      <c r="C41" s="22"/>
      <c r="D41" s="22"/>
      <c r="E41" s="896"/>
      <c r="F41" s="896">
        <v>40000</v>
      </c>
      <c r="K41" s="837"/>
      <c r="L41" s="837"/>
      <c r="M41" s="837"/>
      <c r="N41" s="837"/>
      <c r="O41" s="837"/>
      <c r="P41" s="837"/>
      <c r="Q41" s="837"/>
    </row>
    <row r="42" spans="1:17">
      <c r="A42" s="1658" t="s">
        <v>1795</v>
      </c>
      <c r="B42" s="1658"/>
      <c r="C42" s="1658"/>
      <c r="D42" s="1658"/>
      <c r="E42" s="1658"/>
      <c r="F42" s="895">
        <f>(F31+F35)*11/100</f>
        <v>50600</v>
      </c>
      <c r="K42" s="837"/>
      <c r="L42" s="837"/>
      <c r="M42" s="837"/>
      <c r="N42" s="837"/>
      <c r="O42" s="837"/>
      <c r="P42" s="837"/>
      <c r="Q42" s="837"/>
    </row>
    <row r="43" spans="1:17" ht="15" customHeight="1">
      <c r="A43" s="1649" t="s">
        <v>174</v>
      </c>
      <c r="B43" s="1649"/>
      <c r="C43" s="1649"/>
      <c r="D43" s="1649"/>
      <c r="E43" s="1649"/>
      <c r="F43" s="897">
        <f>SUM(F31:F42)</f>
        <v>3960600</v>
      </c>
      <c r="K43" s="837"/>
      <c r="L43" s="837"/>
      <c r="M43" s="837"/>
      <c r="N43" s="837"/>
      <c r="O43" s="837"/>
      <c r="P43" s="837"/>
      <c r="Q43" s="837"/>
    </row>
    <row r="44" spans="1:17">
      <c r="A44" s="920"/>
      <c r="E44" s="921"/>
      <c r="F44" s="921"/>
      <c r="K44" s="837"/>
      <c r="L44" s="837"/>
      <c r="M44" s="837"/>
      <c r="N44" s="837"/>
      <c r="O44" s="837"/>
      <c r="P44" s="837"/>
      <c r="Q44" s="837"/>
    </row>
  </sheetData>
  <mergeCells count="20">
    <mergeCell ref="A1:F1"/>
    <mergeCell ref="A3:F3"/>
    <mergeCell ref="K7:P7"/>
    <mergeCell ref="A10:A11"/>
    <mergeCell ref="B10:B11"/>
    <mergeCell ref="C10:C11"/>
    <mergeCell ref="D10:D11"/>
    <mergeCell ref="F10:F11"/>
    <mergeCell ref="A42:E42"/>
    <mergeCell ref="A43:E43"/>
    <mergeCell ref="K13:P13"/>
    <mergeCell ref="A21:E21"/>
    <mergeCell ref="A22:E22"/>
    <mergeCell ref="A24:F24"/>
    <mergeCell ref="K28:P28"/>
    <mergeCell ref="A31:A32"/>
    <mergeCell ref="B31:B32"/>
    <mergeCell ref="C31:C32"/>
    <mergeCell ref="D31:D32"/>
    <mergeCell ref="F31:F32"/>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7"/>
  <sheetViews>
    <sheetView workbookViewId="0">
      <selection activeCell="C14" sqref="C14"/>
    </sheetView>
  </sheetViews>
  <sheetFormatPr defaultRowHeight="14.25"/>
  <cols>
    <col min="1" max="1" width="93.42578125" style="570" bestFit="1" customWidth="1"/>
    <col min="2" max="3" width="15.7109375" style="930" customWidth="1"/>
    <col min="4" max="16384" width="9.140625" style="570"/>
  </cols>
  <sheetData>
    <row r="2" spans="1:3" ht="17.25">
      <c r="A2" s="1662" t="s">
        <v>1826</v>
      </c>
      <c r="B2" s="1662"/>
      <c r="C2" s="1662"/>
    </row>
    <row r="4" spans="1:3" s="924" customFormat="1" ht="16.5">
      <c r="A4" s="922" t="s">
        <v>1827</v>
      </c>
      <c r="B4" s="923" t="s">
        <v>1828</v>
      </c>
      <c r="C4" s="922" t="s">
        <v>1829</v>
      </c>
    </row>
    <row r="5" spans="1:3" s="924" customFormat="1">
      <c r="A5" s="522" t="s">
        <v>450</v>
      </c>
      <c r="B5" s="925">
        <v>4500885.8</v>
      </c>
      <c r="C5" s="925">
        <f>C6</f>
        <v>4500885.8000000007</v>
      </c>
    </row>
    <row r="6" spans="1:3" s="924" customFormat="1">
      <c r="A6" s="926" t="s">
        <v>1830</v>
      </c>
      <c r="B6" s="925">
        <v>4500885.8</v>
      </c>
      <c r="C6" s="925">
        <f>C7</f>
        <v>4500885.8000000007</v>
      </c>
    </row>
    <row r="7" spans="1:3" s="924" customFormat="1">
      <c r="A7" s="926" t="s">
        <v>1831</v>
      </c>
      <c r="B7" s="925">
        <v>4500885.8</v>
      </c>
      <c r="C7" s="925">
        <f>C8+C47</f>
        <v>4500885.8000000007</v>
      </c>
    </row>
    <row r="8" spans="1:3" s="924" customFormat="1">
      <c r="A8" s="926" t="s">
        <v>1832</v>
      </c>
      <c r="B8" s="925">
        <v>4469185.8</v>
      </c>
      <c r="C8" s="925">
        <f>C9+C13+C19+C23+C29+C31+C34+C36+C44</f>
        <v>4469185.8000000007</v>
      </c>
    </row>
    <row r="9" spans="1:3">
      <c r="A9" s="927" t="s">
        <v>1833</v>
      </c>
      <c r="B9" s="928">
        <v>822062.2</v>
      </c>
      <c r="C9" s="928">
        <f>C10+C11+C12</f>
        <v>822062.2</v>
      </c>
    </row>
    <row r="10" spans="1:3">
      <c r="A10" s="927" t="s">
        <v>1834</v>
      </c>
      <c r="B10" s="929">
        <v>638064.19999999995</v>
      </c>
      <c r="C10" s="929">
        <v>638064.19999999995</v>
      </c>
    </row>
    <row r="11" spans="1:3">
      <c r="A11" s="927" t="s">
        <v>1835</v>
      </c>
      <c r="B11" s="929">
        <v>83189.399999999994</v>
      </c>
      <c r="C11" s="929">
        <v>83189.399999999994</v>
      </c>
    </row>
    <row r="12" spans="1:3">
      <c r="A12" s="927" t="s">
        <v>1836</v>
      </c>
      <c r="B12" s="929">
        <v>100808.6</v>
      </c>
      <c r="C12" s="929">
        <v>100808.6</v>
      </c>
    </row>
    <row r="13" spans="1:3">
      <c r="A13" s="927" t="s">
        <v>1837</v>
      </c>
      <c r="B13" s="928">
        <v>98647.4</v>
      </c>
      <c r="C13" s="928">
        <f>C14+C15+C16+C17+C18</f>
        <v>98647.400000000009</v>
      </c>
    </row>
    <row r="14" spans="1:3">
      <c r="A14" s="927" t="s">
        <v>1838</v>
      </c>
      <c r="B14" s="929">
        <v>65765</v>
      </c>
      <c r="C14" s="929">
        <v>65765</v>
      </c>
    </row>
    <row r="15" spans="1:3">
      <c r="A15" s="927" t="s">
        <v>1839</v>
      </c>
      <c r="B15" s="929">
        <v>8220.6</v>
      </c>
      <c r="C15" s="929">
        <v>8220.6</v>
      </c>
    </row>
    <row r="16" spans="1:3">
      <c r="A16" s="927" t="s">
        <v>1840</v>
      </c>
      <c r="B16" s="929">
        <v>6576.5</v>
      </c>
      <c r="C16" s="929">
        <v>6576.5</v>
      </c>
    </row>
    <row r="17" spans="1:3">
      <c r="A17" s="927" t="s">
        <v>1841</v>
      </c>
      <c r="B17" s="929">
        <v>1644.1</v>
      </c>
      <c r="C17" s="929">
        <v>1644.1</v>
      </c>
    </row>
    <row r="18" spans="1:3">
      <c r="A18" s="927" t="s">
        <v>1842</v>
      </c>
      <c r="B18" s="929">
        <v>16441.2</v>
      </c>
      <c r="C18" s="929">
        <v>16441.2</v>
      </c>
    </row>
    <row r="19" spans="1:3">
      <c r="A19" s="927" t="s">
        <v>1843</v>
      </c>
      <c r="B19" s="928">
        <v>93287.3</v>
      </c>
      <c r="C19" s="928">
        <f>C20+C21+C22</f>
        <v>93287.3</v>
      </c>
    </row>
    <row r="20" spans="1:3">
      <c r="A20" s="927" t="s">
        <v>1844</v>
      </c>
      <c r="B20" s="929">
        <v>33591.5</v>
      </c>
      <c r="C20" s="929">
        <v>33591.5</v>
      </c>
    </row>
    <row r="21" spans="1:3">
      <c r="A21" s="927" t="s">
        <v>1845</v>
      </c>
      <c r="B21" s="929">
        <v>37895.800000000003</v>
      </c>
      <c r="C21" s="929">
        <v>37895.800000000003</v>
      </c>
    </row>
    <row r="22" spans="1:3">
      <c r="A22" s="927" t="s">
        <v>1846</v>
      </c>
      <c r="B22" s="929">
        <v>21800</v>
      </c>
      <c r="C22" s="929">
        <v>21800</v>
      </c>
    </row>
    <row r="23" spans="1:3">
      <c r="A23" s="927" t="s">
        <v>1847</v>
      </c>
      <c r="B23" s="928">
        <v>75698.8</v>
      </c>
      <c r="C23" s="928">
        <f>C24+C25+C26+C27+C28</f>
        <v>75698.8</v>
      </c>
    </row>
    <row r="24" spans="1:3">
      <c r="A24" s="927" t="s">
        <v>1848</v>
      </c>
      <c r="B24" s="929">
        <v>15304.9</v>
      </c>
      <c r="C24" s="929">
        <v>15304.9</v>
      </c>
    </row>
    <row r="25" spans="1:3">
      <c r="A25" s="927" t="s">
        <v>1849</v>
      </c>
      <c r="B25" s="929">
        <v>15840</v>
      </c>
      <c r="C25" s="929">
        <v>15840</v>
      </c>
    </row>
    <row r="26" spans="1:3">
      <c r="A26" s="927" t="s">
        <v>1850</v>
      </c>
      <c r="B26" s="929">
        <v>12069.2</v>
      </c>
      <c r="C26" s="929">
        <v>12069.2</v>
      </c>
    </row>
    <row r="27" spans="1:3">
      <c r="A27" s="927" t="s">
        <v>1851</v>
      </c>
      <c r="B27" s="929">
        <v>12742.5</v>
      </c>
      <c r="C27" s="929">
        <v>12742.5</v>
      </c>
    </row>
    <row r="28" spans="1:3">
      <c r="A28" s="927" t="s">
        <v>1852</v>
      </c>
      <c r="B28" s="929">
        <v>19742.2</v>
      </c>
      <c r="C28" s="929">
        <v>19742.2</v>
      </c>
    </row>
    <row r="29" spans="1:3">
      <c r="A29" s="927" t="s">
        <v>1853</v>
      </c>
      <c r="B29" s="928">
        <v>485.1</v>
      </c>
      <c r="C29" s="928">
        <f>C30</f>
        <v>485.1</v>
      </c>
    </row>
    <row r="30" spans="1:3">
      <c r="A30" s="927" t="s">
        <v>1854</v>
      </c>
      <c r="B30" s="929">
        <v>485.1</v>
      </c>
      <c r="C30" s="929">
        <v>485.1</v>
      </c>
    </row>
    <row r="31" spans="1:3">
      <c r="A31" s="927" t="s">
        <v>1855</v>
      </c>
      <c r="B31" s="928">
        <v>54827.8</v>
      </c>
      <c r="C31" s="928">
        <f>C32+C33</f>
        <v>54827.8</v>
      </c>
    </row>
    <row r="32" spans="1:3">
      <c r="A32" s="927" t="s">
        <v>1856</v>
      </c>
      <c r="B32" s="929">
        <v>31250</v>
      </c>
      <c r="C32" s="929">
        <v>31250</v>
      </c>
    </row>
    <row r="33" spans="1:3">
      <c r="A33" s="927" t="s">
        <v>1857</v>
      </c>
      <c r="B33" s="929">
        <v>23577.8</v>
      </c>
      <c r="C33" s="929">
        <v>23577.8</v>
      </c>
    </row>
    <row r="34" spans="1:3">
      <c r="A34" s="927" t="s">
        <v>1858</v>
      </c>
      <c r="B34" s="928">
        <v>23021.200000000001</v>
      </c>
      <c r="C34" s="928">
        <f>C35</f>
        <v>23021.200000000001</v>
      </c>
    </row>
    <row r="35" spans="1:3">
      <c r="A35" s="927" t="s">
        <v>1859</v>
      </c>
      <c r="B35" s="929">
        <v>23021.200000000001</v>
      </c>
      <c r="C35" s="929">
        <v>23021.200000000001</v>
      </c>
    </row>
    <row r="36" spans="1:3">
      <c r="A36" s="927" t="s">
        <v>1860</v>
      </c>
      <c r="B36" s="928">
        <v>259343.3</v>
      </c>
      <c r="C36" s="928">
        <f>C37+C38+C39+C40+C41+C42+C43</f>
        <v>259343.30000000002</v>
      </c>
    </row>
    <row r="37" spans="1:3">
      <c r="A37" s="927" t="s">
        <v>1861</v>
      </c>
      <c r="B37" s="929">
        <v>209727.3</v>
      </c>
      <c r="C37" s="929">
        <v>209727.3</v>
      </c>
    </row>
    <row r="38" spans="1:3">
      <c r="A38" s="927" t="s">
        <v>1862</v>
      </c>
      <c r="B38" s="929">
        <v>2852.2</v>
      </c>
      <c r="C38" s="929">
        <v>2852.2</v>
      </c>
    </row>
    <row r="39" spans="1:3">
      <c r="A39" s="927" t="s">
        <v>1863</v>
      </c>
      <c r="B39" s="929">
        <v>871.2</v>
      </c>
      <c r="C39" s="929">
        <v>871.2</v>
      </c>
    </row>
    <row r="40" spans="1:3">
      <c r="A40" s="927" t="s">
        <v>1864</v>
      </c>
      <c r="B40" s="929">
        <v>185.1</v>
      </c>
      <c r="C40" s="929">
        <v>185.1</v>
      </c>
    </row>
    <row r="41" spans="1:3">
      <c r="A41" s="927" t="s">
        <v>1865</v>
      </c>
      <c r="B41" s="929">
        <v>12295</v>
      </c>
      <c r="C41" s="929">
        <v>12295</v>
      </c>
    </row>
    <row r="42" spans="1:3">
      <c r="A42" s="927" t="s">
        <v>1866</v>
      </c>
      <c r="B42" s="929">
        <v>742.5</v>
      </c>
      <c r="C42" s="929">
        <v>742.5</v>
      </c>
    </row>
    <row r="43" spans="1:3">
      <c r="A43" s="927" t="s">
        <v>1867</v>
      </c>
      <c r="B43" s="929">
        <v>32670</v>
      </c>
      <c r="C43" s="929">
        <v>32670</v>
      </c>
    </row>
    <row r="44" spans="1:3">
      <c r="A44" s="927" t="s">
        <v>1868</v>
      </c>
      <c r="B44" s="928">
        <v>3041812.7</v>
      </c>
      <c r="C44" s="928">
        <f>C45+C46</f>
        <v>3041812.7</v>
      </c>
    </row>
    <row r="45" spans="1:3">
      <c r="A45" s="927" t="s">
        <v>1869</v>
      </c>
      <c r="B45" s="929">
        <v>21505</v>
      </c>
      <c r="C45" s="929">
        <v>21505</v>
      </c>
    </row>
    <row r="46" spans="1:3">
      <c r="A46" s="927" t="s">
        <v>1870</v>
      </c>
      <c r="B46" s="929">
        <v>3020307.7</v>
      </c>
      <c r="C46" s="929">
        <v>3020307.7</v>
      </c>
    </row>
    <row r="47" spans="1:3">
      <c r="A47" s="927" t="s">
        <v>1871</v>
      </c>
      <c r="B47" s="928">
        <v>31700</v>
      </c>
      <c r="C47" s="928">
        <f>C48</f>
        <v>31700</v>
      </c>
    </row>
    <row r="48" spans="1:3">
      <c r="A48" s="927" t="s">
        <v>1872</v>
      </c>
      <c r="B48" s="929">
        <v>31700</v>
      </c>
      <c r="C48" s="929">
        <f>C49+C50</f>
        <v>31700</v>
      </c>
    </row>
    <row r="49" spans="1:3">
      <c r="A49" s="927" t="s">
        <v>1873</v>
      </c>
      <c r="B49" s="929">
        <v>8000</v>
      </c>
      <c r="C49" s="929">
        <v>8000</v>
      </c>
    </row>
    <row r="50" spans="1:3">
      <c r="A50" s="927" t="s">
        <v>1874</v>
      </c>
      <c r="B50" s="929">
        <v>23700</v>
      </c>
      <c r="C50" s="929">
        <v>23700</v>
      </c>
    </row>
    <row r="51" spans="1:3">
      <c r="A51" s="927" t="s">
        <v>1875</v>
      </c>
      <c r="B51" s="928">
        <v>4500885.8</v>
      </c>
      <c r="C51" s="928">
        <f>C52+C54</f>
        <v>4500885.8</v>
      </c>
    </row>
    <row r="52" spans="1:3">
      <c r="A52" s="927" t="s">
        <v>1876</v>
      </c>
      <c r="B52" s="929">
        <v>4000885.8</v>
      </c>
      <c r="C52" s="929">
        <f>C53</f>
        <v>4000885.8</v>
      </c>
    </row>
    <row r="53" spans="1:3">
      <c r="A53" s="927" t="s">
        <v>1877</v>
      </c>
      <c r="B53" s="929">
        <v>4000885.8</v>
      </c>
      <c r="C53" s="929">
        <v>4000885.8</v>
      </c>
    </row>
    <row r="54" spans="1:3">
      <c r="A54" s="927" t="s">
        <v>1878</v>
      </c>
      <c r="B54" s="928">
        <v>500000</v>
      </c>
      <c r="C54" s="928">
        <f>C55+C56</f>
        <v>500000</v>
      </c>
    </row>
    <row r="55" spans="1:3">
      <c r="A55" s="927" t="s">
        <v>1879</v>
      </c>
      <c r="B55" s="929">
        <v>400000</v>
      </c>
      <c r="C55" s="929">
        <v>400000</v>
      </c>
    </row>
    <row r="56" spans="1:3">
      <c r="A56" s="927" t="s">
        <v>1880</v>
      </c>
      <c r="B56" s="929">
        <v>100000</v>
      </c>
      <c r="C56" s="929">
        <v>100000</v>
      </c>
    </row>
    <row r="57" spans="1:3">
      <c r="A57" s="927" t="s">
        <v>1881</v>
      </c>
      <c r="B57" s="929">
        <v>169</v>
      </c>
      <c r="C57" s="929">
        <v>169</v>
      </c>
    </row>
    <row r="58" spans="1:3">
      <c r="A58" s="927" t="s">
        <v>1882</v>
      </c>
      <c r="B58" s="929">
        <v>1</v>
      </c>
      <c r="C58" s="929">
        <v>1</v>
      </c>
    </row>
    <row r="59" spans="1:3">
      <c r="A59" s="927" t="s">
        <v>1883</v>
      </c>
      <c r="B59" s="929">
        <v>1</v>
      </c>
      <c r="C59" s="929">
        <v>1</v>
      </c>
    </row>
    <row r="60" spans="1:3">
      <c r="A60" s="927" t="s">
        <v>1884</v>
      </c>
      <c r="B60" s="929">
        <v>84</v>
      </c>
      <c r="C60" s="929">
        <v>84</v>
      </c>
    </row>
    <row r="61" spans="1:3">
      <c r="A61" s="927" t="s">
        <v>1885</v>
      </c>
      <c r="B61" s="929">
        <v>2</v>
      </c>
      <c r="C61" s="929">
        <v>2</v>
      </c>
    </row>
    <row r="62" spans="1:3">
      <c r="A62" s="927" t="s">
        <v>1886</v>
      </c>
      <c r="B62" s="929">
        <v>70</v>
      </c>
      <c r="C62" s="929">
        <v>70</v>
      </c>
    </row>
    <row r="63" spans="1:3">
      <c r="A63" s="927" t="s">
        <v>1887</v>
      </c>
      <c r="B63" s="929">
        <v>12</v>
      </c>
      <c r="C63" s="929">
        <v>12</v>
      </c>
    </row>
    <row r="64" spans="1:3">
      <c r="A64" s="927" t="s">
        <v>1888</v>
      </c>
      <c r="B64" s="929">
        <v>84</v>
      </c>
      <c r="C64" s="929">
        <v>84</v>
      </c>
    </row>
    <row r="65" spans="1:3">
      <c r="A65" s="927" t="s">
        <v>1889</v>
      </c>
      <c r="B65" s="929">
        <v>7</v>
      </c>
      <c r="C65" s="929">
        <v>70</v>
      </c>
    </row>
    <row r="66" spans="1:3">
      <c r="A66" s="927" t="s">
        <v>1890</v>
      </c>
      <c r="B66" s="929">
        <v>1</v>
      </c>
      <c r="C66" s="929">
        <v>1</v>
      </c>
    </row>
    <row r="67" spans="1:3">
      <c r="A67" s="927" t="s">
        <v>1891</v>
      </c>
      <c r="B67" s="929">
        <v>76</v>
      </c>
      <c r="C67" s="929">
        <v>76</v>
      </c>
    </row>
  </sheetData>
  <mergeCells count="1">
    <mergeCell ref="A2:C2"/>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9"/>
  <sheetViews>
    <sheetView workbookViewId="0">
      <selection activeCell="A5" sqref="A5"/>
    </sheetView>
  </sheetViews>
  <sheetFormatPr defaultRowHeight="11.25"/>
  <cols>
    <col min="1" max="1" width="60.7109375" style="932" customWidth="1"/>
    <col min="2" max="2" width="0" style="932" hidden="1" customWidth="1"/>
    <col min="3" max="17" width="15.7109375" style="933" customWidth="1"/>
    <col min="18" max="16384" width="9.140625" style="932"/>
  </cols>
  <sheetData>
    <row r="1" spans="1:26">
      <c r="A1" s="931" t="s">
        <v>1892</v>
      </c>
    </row>
    <row r="2" spans="1:26">
      <c r="A2" s="932" t="s">
        <v>1893</v>
      </c>
    </row>
    <row r="8" spans="1:26">
      <c r="A8" s="934"/>
      <c r="B8" s="934"/>
      <c r="C8" s="935" t="s">
        <v>1894</v>
      </c>
      <c r="D8" s="935" t="s">
        <v>422</v>
      </c>
      <c r="E8" s="935" t="s">
        <v>436</v>
      </c>
      <c r="F8" s="935" t="s">
        <v>417</v>
      </c>
      <c r="G8" s="935" t="s">
        <v>911</v>
      </c>
      <c r="H8" s="935" t="s">
        <v>1895</v>
      </c>
      <c r="I8" s="935" t="s">
        <v>1896</v>
      </c>
      <c r="J8" s="935" t="s">
        <v>1897</v>
      </c>
      <c r="K8" s="935" t="s">
        <v>415</v>
      </c>
      <c r="L8" s="935" t="s">
        <v>900</v>
      </c>
      <c r="M8" s="935" t="s">
        <v>1898</v>
      </c>
      <c r="N8" s="935" t="s">
        <v>884</v>
      </c>
      <c r="O8" s="935" t="s">
        <v>519</v>
      </c>
      <c r="P8" s="935" t="s">
        <v>1899</v>
      </c>
      <c r="Q8" s="935" t="s">
        <v>1900</v>
      </c>
    </row>
    <row r="9" spans="1:26" s="938" customFormat="1">
      <c r="A9" s="936"/>
      <c r="B9" s="936"/>
      <c r="C9" s="937" t="s">
        <v>1901</v>
      </c>
      <c r="D9" s="937" t="s">
        <v>1902</v>
      </c>
      <c r="E9" s="937" t="s">
        <v>1903</v>
      </c>
      <c r="F9" s="937" t="s">
        <v>1904</v>
      </c>
      <c r="G9" s="937" t="s">
        <v>1905</v>
      </c>
      <c r="H9" s="937" t="s">
        <v>1906</v>
      </c>
      <c r="I9" s="937" t="s">
        <v>1907</v>
      </c>
      <c r="J9" s="937" t="s">
        <v>1908</v>
      </c>
      <c r="K9" s="937" t="s">
        <v>1909</v>
      </c>
      <c r="L9" s="937" t="s">
        <v>1910</v>
      </c>
      <c r="M9" s="937" t="s">
        <v>1911</v>
      </c>
      <c r="N9" s="937" t="s">
        <v>1912</v>
      </c>
      <c r="O9" s="937" t="s">
        <v>1913</v>
      </c>
      <c r="P9" s="937" t="s">
        <v>1914</v>
      </c>
      <c r="Q9" s="937" t="s">
        <v>1915</v>
      </c>
    </row>
    <row r="10" spans="1:26" s="938" customFormat="1" ht="14.25">
      <c r="A10" s="936"/>
      <c r="B10" s="936"/>
      <c r="C10" s="939" t="s">
        <v>1916</v>
      </c>
      <c r="D10" s="940"/>
      <c r="E10" s="940"/>
      <c r="F10" s="940"/>
      <c r="G10" s="940"/>
      <c r="H10" s="940"/>
      <c r="I10" s="940"/>
      <c r="J10" s="940"/>
      <c r="K10" s="940"/>
      <c r="L10" s="940"/>
      <c r="M10" s="940"/>
      <c r="N10" s="940"/>
      <c r="O10" s="940"/>
      <c r="P10" s="940"/>
      <c r="Q10" s="939" t="s">
        <v>1900</v>
      </c>
      <c r="R10" s="938" t="s">
        <v>1917</v>
      </c>
      <c r="S10" s="938" t="s">
        <v>1918</v>
      </c>
      <c r="T10" s="938" t="s">
        <v>1919</v>
      </c>
      <c r="U10" s="938" t="s">
        <v>1920</v>
      </c>
      <c r="V10" s="938" t="s">
        <v>1921</v>
      </c>
      <c r="W10" s="938" t="s">
        <v>1922</v>
      </c>
      <c r="X10" s="938" t="s">
        <v>1923</v>
      </c>
      <c r="Y10" s="938" t="s">
        <v>1924</v>
      </c>
      <c r="Z10" s="938" t="s">
        <v>1925</v>
      </c>
    </row>
    <row r="11" spans="1:26" s="938" customFormat="1">
      <c r="A11" s="941" t="s">
        <v>450</v>
      </c>
      <c r="B11" s="941" t="s">
        <v>1926</v>
      </c>
      <c r="C11" s="942">
        <v>4500885.8</v>
      </c>
      <c r="D11" s="942">
        <v>361103.6</v>
      </c>
      <c r="E11" s="942">
        <v>464665.4</v>
      </c>
      <c r="F11" s="942">
        <v>375417.1</v>
      </c>
      <c r="G11" s="942">
        <v>321819.3</v>
      </c>
      <c r="H11" s="942">
        <v>365470.5</v>
      </c>
      <c r="I11" s="942">
        <v>391923.4</v>
      </c>
      <c r="J11" s="942">
        <v>362400.9</v>
      </c>
      <c r="K11" s="942">
        <v>349795.2</v>
      </c>
      <c r="L11" s="942">
        <v>362301.2</v>
      </c>
      <c r="M11" s="942">
        <v>370293.9</v>
      </c>
      <c r="N11" s="942">
        <v>358751.4</v>
      </c>
      <c r="O11" s="942">
        <v>416943.9</v>
      </c>
      <c r="P11" s="942">
        <v>0</v>
      </c>
      <c r="Q11" s="942">
        <v>0</v>
      </c>
      <c r="R11" s="938" t="s">
        <v>1927</v>
      </c>
      <c r="S11" s="938" t="s">
        <v>1927</v>
      </c>
      <c r="T11" s="938" t="s">
        <v>1927</v>
      </c>
      <c r="U11" s="938" t="s">
        <v>1927</v>
      </c>
      <c r="V11" s="938" t="s">
        <v>1927</v>
      </c>
      <c r="W11" s="938" t="s">
        <v>1927</v>
      </c>
      <c r="X11" s="938" t="s">
        <v>1927</v>
      </c>
      <c r="Y11" s="938" t="s">
        <v>1927</v>
      </c>
      <c r="Z11" s="938" t="s">
        <v>1927</v>
      </c>
    </row>
    <row r="12" spans="1:26" s="938" customFormat="1">
      <c r="A12" s="941" t="s">
        <v>1830</v>
      </c>
      <c r="B12" s="941" t="s">
        <v>1928</v>
      </c>
      <c r="C12" s="942">
        <v>4500885.8</v>
      </c>
      <c r="D12" s="942">
        <v>361103.6</v>
      </c>
      <c r="E12" s="942">
        <v>464665.4</v>
      </c>
      <c r="F12" s="942">
        <v>375417.1</v>
      </c>
      <c r="G12" s="942">
        <v>321819.3</v>
      </c>
      <c r="H12" s="942">
        <v>365470.5</v>
      </c>
      <c r="I12" s="942">
        <v>391923.4</v>
      </c>
      <c r="J12" s="942">
        <v>362400.9</v>
      </c>
      <c r="K12" s="942">
        <v>349795.2</v>
      </c>
      <c r="L12" s="942">
        <v>362301.2</v>
      </c>
      <c r="M12" s="942">
        <v>370293.9</v>
      </c>
      <c r="N12" s="942">
        <v>358751.4</v>
      </c>
      <c r="O12" s="942">
        <v>416943.9</v>
      </c>
      <c r="P12" s="942">
        <v>0</v>
      </c>
      <c r="Q12" s="942">
        <v>0</v>
      </c>
      <c r="R12" s="938" t="s">
        <v>1927</v>
      </c>
      <c r="S12" s="938" t="s">
        <v>1927</v>
      </c>
      <c r="T12" s="938" t="s">
        <v>1927</v>
      </c>
      <c r="U12" s="938" t="s">
        <v>1929</v>
      </c>
      <c r="V12" s="938" t="s">
        <v>1927</v>
      </c>
      <c r="W12" s="938" t="s">
        <v>1927</v>
      </c>
      <c r="X12" s="938" t="s">
        <v>1927</v>
      </c>
      <c r="Y12" s="938" t="s">
        <v>1927</v>
      </c>
      <c r="Z12" s="938" t="s">
        <v>1930</v>
      </c>
    </row>
    <row r="13" spans="1:26" s="938" customFormat="1">
      <c r="A13" s="941" t="s">
        <v>1831</v>
      </c>
      <c r="B13" s="941" t="s">
        <v>1931</v>
      </c>
      <c r="C13" s="942">
        <v>4500885.8</v>
      </c>
      <c r="D13" s="942">
        <v>361103.6</v>
      </c>
      <c r="E13" s="942">
        <v>464665.4</v>
      </c>
      <c r="F13" s="942">
        <v>375417.1</v>
      </c>
      <c r="G13" s="942">
        <v>321819.3</v>
      </c>
      <c r="H13" s="942">
        <v>365470.5</v>
      </c>
      <c r="I13" s="942">
        <v>391923.4</v>
      </c>
      <c r="J13" s="942">
        <v>362400.9</v>
      </c>
      <c r="K13" s="942">
        <v>349795.2</v>
      </c>
      <c r="L13" s="942">
        <v>362301.2</v>
      </c>
      <c r="M13" s="942">
        <v>370293.9</v>
      </c>
      <c r="N13" s="942">
        <v>358751.4</v>
      </c>
      <c r="O13" s="942">
        <v>416943.9</v>
      </c>
      <c r="P13" s="942">
        <v>0</v>
      </c>
      <c r="Q13" s="942">
        <v>0</v>
      </c>
      <c r="R13" s="938" t="s">
        <v>1927</v>
      </c>
      <c r="S13" s="938" t="s">
        <v>1927</v>
      </c>
      <c r="T13" s="938" t="s">
        <v>1927</v>
      </c>
      <c r="U13" s="938" t="s">
        <v>1932</v>
      </c>
      <c r="V13" s="938" t="s">
        <v>1927</v>
      </c>
      <c r="W13" s="938" t="s">
        <v>1927</v>
      </c>
      <c r="X13" s="938" t="s">
        <v>1927</v>
      </c>
      <c r="Y13" s="938" t="s">
        <v>1927</v>
      </c>
      <c r="Z13" s="938" t="s">
        <v>1933</v>
      </c>
    </row>
    <row r="14" spans="1:26" s="938" customFormat="1">
      <c r="A14" s="941" t="s">
        <v>1832</v>
      </c>
      <c r="B14" s="941" t="s">
        <v>1934</v>
      </c>
      <c r="C14" s="942">
        <v>4469185.8</v>
      </c>
      <c r="D14" s="942">
        <v>361103.6</v>
      </c>
      <c r="E14" s="942">
        <v>464665.4</v>
      </c>
      <c r="F14" s="942">
        <v>375417.1</v>
      </c>
      <c r="G14" s="942">
        <v>321819.3</v>
      </c>
      <c r="H14" s="942">
        <v>357470.5</v>
      </c>
      <c r="I14" s="942">
        <v>391923.4</v>
      </c>
      <c r="J14" s="942">
        <v>362400.9</v>
      </c>
      <c r="K14" s="942">
        <v>349795.2</v>
      </c>
      <c r="L14" s="942">
        <v>362301.2</v>
      </c>
      <c r="M14" s="942">
        <v>370293.9</v>
      </c>
      <c r="N14" s="942">
        <v>358751.4</v>
      </c>
      <c r="O14" s="942">
        <v>393243.9</v>
      </c>
      <c r="P14" s="942">
        <v>0</v>
      </c>
      <c r="Q14" s="942">
        <v>0</v>
      </c>
      <c r="R14" s="938" t="s">
        <v>1927</v>
      </c>
      <c r="S14" s="938" t="s">
        <v>1927</v>
      </c>
      <c r="T14" s="938" t="s">
        <v>1927</v>
      </c>
      <c r="U14" s="938" t="s">
        <v>1935</v>
      </c>
      <c r="V14" s="938" t="s">
        <v>1927</v>
      </c>
      <c r="W14" s="938" t="s">
        <v>1927</v>
      </c>
      <c r="X14" s="938" t="s">
        <v>1927</v>
      </c>
      <c r="Y14" s="938" t="s">
        <v>1927</v>
      </c>
      <c r="Z14" s="938" t="s">
        <v>1936</v>
      </c>
    </row>
    <row r="15" spans="1:26">
      <c r="A15" s="943" t="s">
        <v>1833</v>
      </c>
      <c r="B15" s="943" t="s">
        <v>1937</v>
      </c>
      <c r="C15" s="944">
        <v>822062.2</v>
      </c>
      <c r="D15" s="944">
        <v>62988.6</v>
      </c>
      <c r="E15" s="944">
        <v>64388.6</v>
      </c>
      <c r="F15" s="944">
        <v>64388.6</v>
      </c>
      <c r="G15" s="944">
        <v>64388.6</v>
      </c>
      <c r="H15" s="944">
        <v>64388.6</v>
      </c>
      <c r="I15" s="944">
        <v>76388.600000000006</v>
      </c>
      <c r="J15" s="944">
        <v>68388.600000000006</v>
      </c>
      <c r="K15" s="944">
        <v>68388.600000000006</v>
      </c>
      <c r="L15" s="944">
        <v>64388.6</v>
      </c>
      <c r="M15" s="944">
        <v>64388.6</v>
      </c>
      <c r="N15" s="944">
        <v>64388.6</v>
      </c>
      <c r="O15" s="944">
        <v>95187.6</v>
      </c>
      <c r="P15" s="944">
        <v>0</v>
      </c>
      <c r="Q15" s="944">
        <v>0</v>
      </c>
      <c r="R15" s="932" t="s">
        <v>1927</v>
      </c>
      <c r="S15" s="932" t="s">
        <v>1927</v>
      </c>
      <c r="T15" s="932" t="s">
        <v>1927</v>
      </c>
      <c r="U15" s="932" t="s">
        <v>1938</v>
      </c>
      <c r="V15" s="932" t="s">
        <v>1927</v>
      </c>
      <c r="W15" s="932" t="s">
        <v>1927</v>
      </c>
      <c r="X15" s="932" t="s">
        <v>1927</v>
      </c>
      <c r="Y15" s="932" t="s">
        <v>1927</v>
      </c>
      <c r="Z15" s="932" t="s">
        <v>1939</v>
      </c>
    </row>
    <row r="16" spans="1:26">
      <c r="A16" s="943" t="s">
        <v>1834</v>
      </c>
      <c r="B16" s="943" t="s">
        <v>1940</v>
      </c>
      <c r="C16" s="944">
        <v>638064.19999999995</v>
      </c>
      <c r="D16" s="944">
        <v>47655.4</v>
      </c>
      <c r="E16" s="944">
        <v>49055.4</v>
      </c>
      <c r="F16" s="944">
        <v>49055.4</v>
      </c>
      <c r="G16" s="944">
        <v>49055.4</v>
      </c>
      <c r="H16" s="944">
        <v>49055.4</v>
      </c>
      <c r="I16" s="944">
        <v>61055.4</v>
      </c>
      <c r="J16" s="944">
        <v>53055.4</v>
      </c>
      <c r="K16" s="944">
        <v>53055.4</v>
      </c>
      <c r="L16" s="944">
        <v>49055.4</v>
      </c>
      <c r="M16" s="944">
        <v>49055.4</v>
      </c>
      <c r="N16" s="944">
        <v>49055.4</v>
      </c>
      <c r="O16" s="944">
        <v>79854.8</v>
      </c>
      <c r="P16" s="944">
        <v>0</v>
      </c>
      <c r="Q16" s="944">
        <v>0</v>
      </c>
      <c r="R16" s="932" t="s">
        <v>1927</v>
      </c>
      <c r="S16" s="932" t="s">
        <v>1927</v>
      </c>
      <c r="T16" s="932" t="s">
        <v>1941</v>
      </c>
      <c r="U16" s="932" t="s">
        <v>1942</v>
      </c>
      <c r="V16" s="932" t="s">
        <v>1927</v>
      </c>
      <c r="W16" s="932" t="s">
        <v>1927</v>
      </c>
      <c r="X16" s="932" t="s">
        <v>1927</v>
      </c>
      <c r="Y16" s="932" t="s">
        <v>1927</v>
      </c>
      <c r="Z16" s="932" t="s">
        <v>1943</v>
      </c>
    </row>
    <row r="17" spans="1:26">
      <c r="A17" s="943" t="s">
        <v>1835</v>
      </c>
      <c r="B17" s="943" t="s">
        <v>1944</v>
      </c>
      <c r="C17" s="944">
        <v>83189.399999999994</v>
      </c>
      <c r="D17" s="944">
        <v>6932.5</v>
      </c>
      <c r="E17" s="944">
        <v>6932.5</v>
      </c>
      <c r="F17" s="944">
        <v>6932.5</v>
      </c>
      <c r="G17" s="944">
        <v>6932.5</v>
      </c>
      <c r="H17" s="944">
        <v>6932.5</v>
      </c>
      <c r="I17" s="944">
        <v>6932.5</v>
      </c>
      <c r="J17" s="944">
        <v>6932.5</v>
      </c>
      <c r="K17" s="944">
        <v>6932.5</v>
      </c>
      <c r="L17" s="944">
        <v>6932.5</v>
      </c>
      <c r="M17" s="944">
        <v>6932.5</v>
      </c>
      <c r="N17" s="944">
        <v>6932.5</v>
      </c>
      <c r="O17" s="944">
        <v>6931.9</v>
      </c>
      <c r="P17" s="944">
        <v>0</v>
      </c>
      <c r="Q17" s="944">
        <v>0</v>
      </c>
      <c r="R17" s="932" t="s">
        <v>1927</v>
      </c>
      <c r="S17" s="932" t="s">
        <v>1927</v>
      </c>
      <c r="T17" s="932" t="s">
        <v>1945</v>
      </c>
      <c r="U17" s="932" t="s">
        <v>1946</v>
      </c>
      <c r="V17" s="932" t="s">
        <v>1927</v>
      </c>
      <c r="W17" s="932" t="s">
        <v>1927</v>
      </c>
      <c r="X17" s="932" t="s">
        <v>1927</v>
      </c>
      <c r="Y17" s="932" t="s">
        <v>1927</v>
      </c>
      <c r="Z17" s="932" t="s">
        <v>942</v>
      </c>
    </row>
    <row r="18" spans="1:26">
      <c r="A18" s="943" t="s">
        <v>1836</v>
      </c>
      <c r="B18" s="943" t="s">
        <v>1947</v>
      </c>
      <c r="C18" s="944">
        <v>100808.6</v>
      </c>
      <c r="D18" s="944">
        <v>8400.7000000000007</v>
      </c>
      <c r="E18" s="944">
        <v>8400.7000000000007</v>
      </c>
      <c r="F18" s="944">
        <v>8400.7000000000007</v>
      </c>
      <c r="G18" s="944">
        <v>8400.7000000000007</v>
      </c>
      <c r="H18" s="944">
        <v>8400.7000000000007</v>
      </c>
      <c r="I18" s="944">
        <v>8400.7000000000007</v>
      </c>
      <c r="J18" s="944">
        <v>8400.7000000000007</v>
      </c>
      <c r="K18" s="944">
        <v>8400.7000000000007</v>
      </c>
      <c r="L18" s="944">
        <v>8400.7000000000007</v>
      </c>
      <c r="M18" s="944">
        <v>8400.7000000000007</v>
      </c>
      <c r="N18" s="944">
        <v>8400.7000000000007</v>
      </c>
      <c r="O18" s="944">
        <v>8400.9</v>
      </c>
      <c r="P18" s="944">
        <v>0</v>
      </c>
      <c r="Q18" s="944">
        <v>0</v>
      </c>
      <c r="R18" s="932" t="s">
        <v>1927</v>
      </c>
      <c r="S18" s="932" t="s">
        <v>1927</v>
      </c>
      <c r="T18" s="932" t="s">
        <v>1948</v>
      </c>
      <c r="U18" s="932" t="s">
        <v>1949</v>
      </c>
      <c r="V18" s="932" t="s">
        <v>1927</v>
      </c>
      <c r="W18" s="932" t="s">
        <v>1927</v>
      </c>
      <c r="X18" s="932" t="s">
        <v>1927</v>
      </c>
      <c r="Y18" s="932" t="s">
        <v>1927</v>
      </c>
      <c r="Z18" s="932" t="s">
        <v>1950</v>
      </c>
    </row>
    <row r="19" spans="1:26">
      <c r="A19" s="943" t="s">
        <v>1837</v>
      </c>
      <c r="B19" s="943" t="s">
        <v>1951</v>
      </c>
      <c r="C19" s="944">
        <v>98647.4</v>
      </c>
      <c r="D19" s="944">
        <v>7558.7</v>
      </c>
      <c r="E19" s="944">
        <v>7726.7</v>
      </c>
      <c r="F19" s="944">
        <v>7726.7</v>
      </c>
      <c r="G19" s="944">
        <v>7726.7</v>
      </c>
      <c r="H19" s="944">
        <v>7726.7</v>
      </c>
      <c r="I19" s="944">
        <v>9166.7000000000007</v>
      </c>
      <c r="J19" s="944">
        <v>8206.7000000000007</v>
      </c>
      <c r="K19" s="944">
        <v>8206.7000000000007</v>
      </c>
      <c r="L19" s="944">
        <v>7726.7</v>
      </c>
      <c r="M19" s="944">
        <v>7726.7</v>
      </c>
      <c r="N19" s="944">
        <v>7726.7</v>
      </c>
      <c r="O19" s="944">
        <v>11421.7</v>
      </c>
      <c r="P19" s="944">
        <v>0</v>
      </c>
      <c r="Q19" s="944">
        <v>0</v>
      </c>
      <c r="R19" s="932" t="s">
        <v>1927</v>
      </c>
      <c r="S19" s="932" t="s">
        <v>1927</v>
      </c>
      <c r="T19" s="932" t="s">
        <v>1927</v>
      </c>
      <c r="U19" s="932" t="s">
        <v>1952</v>
      </c>
      <c r="V19" s="932" t="s">
        <v>1927</v>
      </c>
      <c r="W19" s="932" t="s">
        <v>1927</v>
      </c>
      <c r="X19" s="932" t="s">
        <v>1927</v>
      </c>
      <c r="Y19" s="932" t="s">
        <v>1927</v>
      </c>
      <c r="Z19" s="932" t="s">
        <v>1953</v>
      </c>
    </row>
    <row r="20" spans="1:26">
      <c r="A20" s="943" t="s">
        <v>1838</v>
      </c>
      <c r="B20" s="943" t="s">
        <v>1954</v>
      </c>
      <c r="C20" s="944">
        <v>65765</v>
      </c>
      <c r="D20" s="944">
        <v>5039.1000000000004</v>
      </c>
      <c r="E20" s="944">
        <v>5151.1000000000004</v>
      </c>
      <c r="F20" s="944">
        <v>5151.1000000000004</v>
      </c>
      <c r="G20" s="944">
        <v>5151.1000000000004</v>
      </c>
      <c r="H20" s="944">
        <v>5151.1000000000004</v>
      </c>
      <c r="I20" s="944">
        <v>6111.1</v>
      </c>
      <c r="J20" s="944">
        <v>5471.1</v>
      </c>
      <c r="K20" s="944">
        <v>5471.1</v>
      </c>
      <c r="L20" s="944">
        <v>5151.1000000000004</v>
      </c>
      <c r="M20" s="944">
        <v>5151.1000000000004</v>
      </c>
      <c r="N20" s="944">
        <v>5151.1000000000004</v>
      </c>
      <c r="O20" s="944">
        <v>7614.9</v>
      </c>
      <c r="P20" s="944">
        <v>0</v>
      </c>
      <c r="Q20" s="944">
        <v>0</v>
      </c>
      <c r="R20" s="932" t="s">
        <v>1927</v>
      </c>
      <c r="S20" s="932" t="s">
        <v>1927</v>
      </c>
      <c r="T20" s="932" t="s">
        <v>1955</v>
      </c>
      <c r="U20" s="932" t="s">
        <v>1956</v>
      </c>
      <c r="V20" s="932" t="s">
        <v>1927</v>
      </c>
      <c r="W20" s="932" t="s">
        <v>1927</v>
      </c>
      <c r="X20" s="932" t="s">
        <v>1927</v>
      </c>
      <c r="Y20" s="932" t="s">
        <v>1927</v>
      </c>
      <c r="Z20" s="932" t="s">
        <v>1957</v>
      </c>
    </row>
    <row r="21" spans="1:26">
      <c r="A21" s="943" t="s">
        <v>1839</v>
      </c>
      <c r="B21" s="943" t="s">
        <v>1958</v>
      </c>
      <c r="C21" s="944">
        <v>8220.6</v>
      </c>
      <c r="D21" s="944">
        <v>629.9</v>
      </c>
      <c r="E21" s="944">
        <v>643.9</v>
      </c>
      <c r="F21" s="944">
        <v>643.9</v>
      </c>
      <c r="G21" s="944">
        <v>643.9</v>
      </c>
      <c r="H21" s="944">
        <v>643.9</v>
      </c>
      <c r="I21" s="944">
        <v>763.9</v>
      </c>
      <c r="J21" s="944">
        <v>683.9</v>
      </c>
      <c r="K21" s="944">
        <v>683.9</v>
      </c>
      <c r="L21" s="944">
        <v>643.9</v>
      </c>
      <c r="M21" s="944">
        <v>643.9</v>
      </c>
      <c r="N21" s="944">
        <v>643.9</v>
      </c>
      <c r="O21" s="944">
        <v>951.7</v>
      </c>
      <c r="P21" s="944">
        <v>0</v>
      </c>
      <c r="Q21" s="944">
        <v>0</v>
      </c>
      <c r="R21" s="932" t="s">
        <v>1927</v>
      </c>
      <c r="S21" s="932" t="s">
        <v>1927</v>
      </c>
      <c r="T21" s="932" t="s">
        <v>1959</v>
      </c>
      <c r="U21" s="932" t="s">
        <v>1960</v>
      </c>
      <c r="V21" s="932" t="s">
        <v>1927</v>
      </c>
      <c r="W21" s="932" t="s">
        <v>1927</v>
      </c>
      <c r="X21" s="932" t="s">
        <v>1927</v>
      </c>
      <c r="Y21" s="932" t="s">
        <v>1927</v>
      </c>
      <c r="Z21" s="932" t="s">
        <v>1961</v>
      </c>
    </row>
    <row r="22" spans="1:26">
      <c r="A22" s="943" t="s">
        <v>1840</v>
      </c>
      <c r="B22" s="943" t="s">
        <v>1962</v>
      </c>
      <c r="C22" s="944">
        <v>6576.5</v>
      </c>
      <c r="D22" s="944">
        <v>503.9</v>
      </c>
      <c r="E22" s="944">
        <v>515.1</v>
      </c>
      <c r="F22" s="944">
        <v>515.1</v>
      </c>
      <c r="G22" s="944">
        <v>515.1</v>
      </c>
      <c r="H22" s="944">
        <v>515.1</v>
      </c>
      <c r="I22" s="944">
        <v>611.1</v>
      </c>
      <c r="J22" s="944">
        <v>547.1</v>
      </c>
      <c r="K22" s="944">
        <v>547.1</v>
      </c>
      <c r="L22" s="944">
        <v>515.1</v>
      </c>
      <c r="M22" s="944">
        <v>515.1</v>
      </c>
      <c r="N22" s="944">
        <v>515.1</v>
      </c>
      <c r="O22" s="944">
        <v>761.6</v>
      </c>
      <c r="P22" s="944">
        <v>0</v>
      </c>
      <c r="Q22" s="944">
        <v>0</v>
      </c>
      <c r="R22" s="932" t="s">
        <v>1927</v>
      </c>
      <c r="S22" s="932" t="s">
        <v>1927</v>
      </c>
      <c r="T22" s="932" t="s">
        <v>1963</v>
      </c>
      <c r="U22" s="932" t="s">
        <v>1964</v>
      </c>
      <c r="V22" s="932" t="s">
        <v>1927</v>
      </c>
      <c r="W22" s="932" t="s">
        <v>1927</v>
      </c>
      <c r="X22" s="932" t="s">
        <v>1927</v>
      </c>
      <c r="Y22" s="932" t="s">
        <v>1927</v>
      </c>
      <c r="Z22" s="932" t="s">
        <v>1965</v>
      </c>
    </row>
    <row r="23" spans="1:26">
      <c r="A23" s="943" t="s">
        <v>1841</v>
      </c>
      <c r="B23" s="943" t="s">
        <v>1966</v>
      </c>
      <c r="C23" s="944">
        <v>1644.1</v>
      </c>
      <c r="D23" s="944">
        <v>126</v>
      </c>
      <c r="E23" s="944">
        <v>128.80000000000001</v>
      </c>
      <c r="F23" s="944">
        <v>128.80000000000001</v>
      </c>
      <c r="G23" s="944">
        <v>128.80000000000001</v>
      </c>
      <c r="H23" s="944">
        <v>128.80000000000001</v>
      </c>
      <c r="I23" s="944">
        <v>152.80000000000001</v>
      </c>
      <c r="J23" s="944">
        <v>136.80000000000001</v>
      </c>
      <c r="K23" s="944">
        <v>136.80000000000001</v>
      </c>
      <c r="L23" s="944">
        <v>128.80000000000001</v>
      </c>
      <c r="M23" s="944">
        <v>128.80000000000001</v>
      </c>
      <c r="N23" s="944">
        <v>128.80000000000001</v>
      </c>
      <c r="O23" s="944">
        <v>190.1</v>
      </c>
      <c r="P23" s="944">
        <v>0</v>
      </c>
      <c r="Q23" s="944">
        <v>0</v>
      </c>
      <c r="R23" s="932" t="s">
        <v>1927</v>
      </c>
      <c r="S23" s="932" t="s">
        <v>1927</v>
      </c>
      <c r="T23" s="932" t="s">
        <v>1967</v>
      </c>
      <c r="U23" s="932" t="s">
        <v>1968</v>
      </c>
      <c r="V23" s="932" t="s">
        <v>1927</v>
      </c>
      <c r="W23" s="932" t="s">
        <v>1927</v>
      </c>
      <c r="X23" s="932" t="s">
        <v>1927</v>
      </c>
      <c r="Y23" s="932" t="s">
        <v>1927</v>
      </c>
      <c r="Z23" s="932" t="s">
        <v>1969</v>
      </c>
    </row>
    <row r="24" spans="1:26">
      <c r="A24" s="943" t="s">
        <v>1842</v>
      </c>
      <c r="B24" s="943" t="s">
        <v>1970</v>
      </c>
      <c r="C24" s="944">
        <v>16441.2</v>
      </c>
      <c r="D24" s="944">
        <v>1259.8</v>
      </c>
      <c r="E24" s="944">
        <v>1287.8</v>
      </c>
      <c r="F24" s="944">
        <v>1287.8</v>
      </c>
      <c r="G24" s="944">
        <v>1287.8</v>
      </c>
      <c r="H24" s="944">
        <v>1287.8</v>
      </c>
      <c r="I24" s="944">
        <v>1527.8</v>
      </c>
      <c r="J24" s="944">
        <v>1367.8</v>
      </c>
      <c r="K24" s="944">
        <v>1367.8</v>
      </c>
      <c r="L24" s="944">
        <v>1287.8</v>
      </c>
      <c r="M24" s="944">
        <v>1287.8</v>
      </c>
      <c r="N24" s="944">
        <v>1287.8</v>
      </c>
      <c r="O24" s="944">
        <v>1903.4</v>
      </c>
      <c r="P24" s="944">
        <v>0</v>
      </c>
      <c r="Q24" s="944">
        <v>0</v>
      </c>
      <c r="R24" s="932" t="s">
        <v>1927</v>
      </c>
      <c r="S24" s="932" t="s">
        <v>1927</v>
      </c>
      <c r="T24" s="932" t="s">
        <v>1971</v>
      </c>
      <c r="U24" s="932" t="s">
        <v>1972</v>
      </c>
      <c r="V24" s="932" t="s">
        <v>1927</v>
      </c>
      <c r="W24" s="932" t="s">
        <v>1927</v>
      </c>
      <c r="X24" s="932" t="s">
        <v>1927</v>
      </c>
      <c r="Y24" s="932" t="s">
        <v>1927</v>
      </c>
      <c r="Z24" s="932" t="s">
        <v>1973</v>
      </c>
    </row>
    <row r="25" spans="1:26">
      <c r="A25" s="943" t="s">
        <v>1843</v>
      </c>
      <c r="B25" s="943" t="s">
        <v>1974</v>
      </c>
      <c r="C25" s="944">
        <v>93287.3</v>
      </c>
      <c r="D25" s="944">
        <v>8827</v>
      </c>
      <c r="E25" s="944">
        <v>8826.6</v>
      </c>
      <c r="F25" s="944">
        <v>8826.6</v>
      </c>
      <c r="G25" s="944">
        <v>8826.6</v>
      </c>
      <c r="H25" s="944">
        <v>8826.6</v>
      </c>
      <c r="I25" s="944">
        <v>4616</v>
      </c>
      <c r="J25" s="944">
        <v>6866</v>
      </c>
      <c r="K25" s="944">
        <v>3366</v>
      </c>
      <c r="L25" s="944">
        <v>7826.6</v>
      </c>
      <c r="M25" s="944">
        <v>8826.6</v>
      </c>
      <c r="N25" s="944">
        <v>8826.6</v>
      </c>
      <c r="O25" s="944">
        <v>8826.1</v>
      </c>
      <c r="P25" s="944">
        <v>0</v>
      </c>
      <c r="Q25" s="944">
        <v>0</v>
      </c>
      <c r="R25" s="932" t="s">
        <v>1927</v>
      </c>
      <c r="S25" s="932" t="s">
        <v>1927</v>
      </c>
      <c r="T25" s="932" t="s">
        <v>1927</v>
      </c>
      <c r="U25" s="932" t="s">
        <v>1975</v>
      </c>
      <c r="V25" s="932" t="s">
        <v>1927</v>
      </c>
      <c r="W25" s="932" t="s">
        <v>1927</v>
      </c>
      <c r="X25" s="932" t="s">
        <v>1927</v>
      </c>
      <c r="Y25" s="932" t="s">
        <v>1927</v>
      </c>
      <c r="Z25" s="932" t="s">
        <v>1976</v>
      </c>
    </row>
    <row r="26" spans="1:26">
      <c r="A26" s="943" t="s">
        <v>1844</v>
      </c>
      <c r="B26" s="943" t="s">
        <v>1977</v>
      </c>
      <c r="C26" s="944">
        <v>33591.5</v>
      </c>
      <c r="D26" s="944">
        <v>2799.3</v>
      </c>
      <c r="E26" s="944">
        <v>2799.3</v>
      </c>
      <c r="F26" s="944">
        <v>2799.3</v>
      </c>
      <c r="G26" s="944">
        <v>2799.3</v>
      </c>
      <c r="H26" s="944">
        <v>2799.3</v>
      </c>
      <c r="I26" s="944">
        <v>2799.3</v>
      </c>
      <c r="J26" s="944">
        <v>5049.3</v>
      </c>
      <c r="K26" s="944">
        <v>1549.3</v>
      </c>
      <c r="L26" s="944">
        <v>1799.3</v>
      </c>
      <c r="M26" s="944">
        <v>2799.3</v>
      </c>
      <c r="N26" s="944">
        <v>2799.3</v>
      </c>
      <c r="O26" s="944">
        <v>2799.2</v>
      </c>
      <c r="P26" s="944">
        <v>0</v>
      </c>
      <c r="Q26" s="944">
        <v>0</v>
      </c>
      <c r="R26" s="932" t="s">
        <v>1927</v>
      </c>
      <c r="S26" s="932" t="s">
        <v>1927</v>
      </c>
      <c r="T26" s="932" t="s">
        <v>1978</v>
      </c>
      <c r="U26" s="932" t="s">
        <v>1979</v>
      </c>
      <c r="V26" s="932" t="s">
        <v>1927</v>
      </c>
      <c r="W26" s="932" t="s">
        <v>1927</v>
      </c>
      <c r="X26" s="932" t="s">
        <v>1927</v>
      </c>
      <c r="Y26" s="932" t="s">
        <v>1927</v>
      </c>
      <c r="Z26" s="932" t="s">
        <v>1980</v>
      </c>
    </row>
    <row r="27" spans="1:26">
      <c r="A27" s="943" t="s">
        <v>1845</v>
      </c>
      <c r="B27" s="943" t="s">
        <v>1981</v>
      </c>
      <c r="C27" s="944">
        <v>37895.800000000003</v>
      </c>
      <c r="D27" s="944">
        <v>4211</v>
      </c>
      <c r="E27" s="944">
        <v>4210.6000000000004</v>
      </c>
      <c r="F27" s="944">
        <v>4210.6000000000004</v>
      </c>
      <c r="G27" s="944">
        <v>4210.6000000000004</v>
      </c>
      <c r="H27" s="944">
        <v>4210.6000000000004</v>
      </c>
      <c r="I27" s="944">
        <v>0</v>
      </c>
      <c r="J27" s="944">
        <v>0</v>
      </c>
      <c r="K27" s="944">
        <v>0</v>
      </c>
      <c r="L27" s="944">
        <v>4210.6000000000004</v>
      </c>
      <c r="M27" s="944">
        <v>4210.6000000000004</v>
      </c>
      <c r="N27" s="944">
        <v>4210.6000000000004</v>
      </c>
      <c r="O27" s="944">
        <v>4210.6000000000004</v>
      </c>
      <c r="P27" s="944">
        <v>0</v>
      </c>
      <c r="Q27" s="944">
        <v>0</v>
      </c>
      <c r="R27" s="932" t="s">
        <v>1927</v>
      </c>
      <c r="S27" s="932" t="s">
        <v>1927</v>
      </c>
      <c r="T27" s="932" t="s">
        <v>1982</v>
      </c>
      <c r="U27" s="932" t="s">
        <v>1983</v>
      </c>
      <c r="V27" s="932" t="s">
        <v>1927</v>
      </c>
      <c r="W27" s="932" t="s">
        <v>1927</v>
      </c>
      <c r="X27" s="932" t="s">
        <v>1927</v>
      </c>
      <c r="Y27" s="932" t="s">
        <v>1927</v>
      </c>
      <c r="Z27" s="932" t="s">
        <v>1984</v>
      </c>
    </row>
    <row r="28" spans="1:26">
      <c r="A28" s="943" t="s">
        <v>1846</v>
      </c>
      <c r="B28" s="943" t="s">
        <v>1985</v>
      </c>
      <c r="C28" s="944">
        <v>21800</v>
      </c>
      <c r="D28" s="944">
        <v>1816.7</v>
      </c>
      <c r="E28" s="944">
        <v>1816.7</v>
      </c>
      <c r="F28" s="944">
        <v>1816.7</v>
      </c>
      <c r="G28" s="944">
        <v>1816.7</v>
      </c>
      <c r="H28" s="944">
        <v>1816.7</v>
      </c>
      <c r="I28" s="944">
        <v>1816.7</v>
      </c>
      <c r="J28" s="944">
        <v>1816.7</v>
      </c>
      <c r="K28" s="944">
        <v>1816.7</v>
      </c>
      <c r="L28" s="944">
        <v>1816.7</v>
      </c>
      <c r="M28" s="944">
        <v>1816.7</v>
      </c>
      <c r="N28" s="944">
        <v>1816.7</v>
      </c>
      <c r="O28" s="944">
        <v>1816.3</v>
      </c>
      <c r="P28" s="944">
        <v>0</v>
      </c>
      <c r="Q28" s="944">
        <v>0</v>
      </c>
      <c r="R28" s="932" t="s">
        <v>1927</v>
      </c>
      <c r="S28" s="932" t="s">
        <v>1927</v>
      </c>
      <c r="T28" s="932" t="s">
        <v>1986</v>
      </c>
      <c r="U28" s="932" t="s">
        <v>1987</v>
      </c>
      <c r="V28" s="932" t="s">
        <v>1927</v>
      </c>
      <c r="W28" s="932" t="s">
        <v>1927</v>
      </c>
      <c r="X28" s="932" t="s">
        <v>1927</v>
      </c>
      <c r="Y28" s="932" t="s">
        <v>1927</v>
      </c>
      <c r="Z28" s="932" t="s">
        <v>1988</v>
      </c>
    </row>
    <row r="29" spans="1:26">
      <c r="A29" s="943" t="s">
        <v>1847</v>
      </c>
      <c r="B29" s="943" t="s">
        <v>1989</v>
      </c>
      <c r="C29" s="944">
        <v>75698.8</v>
      </c>
      <c r="D29" s="944">
        <v>4783.3</v>
      </c>
      <c r="E29" s="944">
        <v>11928.5</v>
      </c>
      <c r="F29" s="944">
        <v>4783.3</v>
      </c>
      <c r="G29" s="944">
        <v>7073.7</v>
      </c>
      <c r="H29" s="944">
        <v>3638.1</v>
      </c>
      <c r="I29" s="944">
        <v>15938.1</v>
      </c>
      <c r="J29" s="944">
        <v>7073.7</v>
      </c>
      <c r="K29" s="944">
        <v>3638.1</v>
      </c>
      <c r="L29" s="944">
        <v>3638.1</v>
      </c>
      <c r="M29" s="944">
        <v>5928.3</v>
      </c>
      <c r="N29" s="944">
        <v>3638.1</v>
      </c>
      <c r="O29" s="944">
        <v>3637.5</v>
      </c>
      <c r="P29" s="944">
        <v>0</v>
      </c>
      <c r="Q29" s="944">
        <v>0</v>
      </c>
      <c r="R29" s="932" t="s">
        <v>1927</v>
      </c>
      <c r="S29" s="932" t="s">
        <v>1927</v>
      </c>
      <c r="T29" s="932" t="s">
        <v>1927</v>
      </c>
      <c r="U29" s="932" t="s">
        <v>1990</v>
      </c>
      <c r="V29" s="932" t="s">
        <v>1927</v>
      </c>
      <c r="W29" s="932" t="s">
        <v>1927</v>
      </c>
      <c r="X29" s="932" t="s">
        <v>1927</v>
      </c>
      <c r="Y29" s="932" t="s">
        <v>1927</v>
      </c>
      <c r="Z29" s="932" t="s">
        <v>1991</v>
      </c>
    </row>
    <row r="30" spans="1:26">
      <c r="A30" s="943" t="s">
        <v>1848</v>
      </c>
      <c r="B30" s="943" t="s">
        <v>1992</v>
      </c>
      <c r="C30" s="944">
        <v>15304.9</v>
      </c>
      <c r="D30" s="944">
        <v>900.4</v>
      </c>
      <c r="E30" s="944">
        <v>900.4</v>
      </c>
      <c r="F30" s="944">
        <v>900.4</v>
      </c>
      <c r="G30" s="944">
        <v>900.4</v>
      </c>
      <c r="H30" s="944">
        <v>900.4</v>
      </c>
      <c r="I30" s="944">
        <v>5400.4</v>
      </c>
      <c r="J30" s="944">
        <v>900.4</v>
      </c>
      <c r="K30" s="944">
        <v>900.4</v>
      </c>
      <c r="L30" s="944">
        <v>900.4</v>
      </c>
      <c r="M30" s="944">
        <v>900.4</v>
      </c>
      <c r="N30" s="944">
        <v>900.4</v>
      </c>
      <c r="O30" s="944">
        <v>900.5</v>
      </c>
      <c r="P30" s="944">
        <v>0</v>
      </c>
      <c r="Q30" s="944">
        <v>0</v>
      </c>
      <c r="R30" s="932" t="s">
        <v>1927</v>
      </c>
      <c r="S30" s="932" t="s">
        <v>1927</v>
      </c>
      <c r="T30" s="932" t="s">
        <v>1993</v>
      </c>
      <c r="U30" s="932" t="s">
        <v>1994</v>
      </c>
      <c r="V30" s="932" t="s">
        <v>1927</v>
      </c>
      <c r="W30" s="932" t="s">
        <v>1927</v>
      </c>
      <c r="X30" s="932" t="s">
        <v>1927</v>
      </c>
      <c r="Y30" s="932" t="s">
        <v>1927</v>
      </c>
      <c r="Z30" s="932" t="s">
        <v>946</v>
      </c>
    </row>
    <row r="31" spans="1:26">
      <c r="A31" s="943" t="s">
        <v>1849</v>
      </c>
      <c r="B31" s="943" t="s">
        <v>1995</v>
      </c>
      <c r="C31" s="944">
        <v>15840</v>
      </c>
      <c r="D31" s="944">
        <v>1320</v>
      </c>
      <c r="E31" s="944">
        <v>1320</v>
      </c>
      <c r="F31" s="944">
        <v>1320</v>
      </c>
      <c r="G31" s="944">
        <v>1320</v>
      </c>
      <c r="H31" s="944">
        <v>1320</v>
      </c>
      <c r="I31" s="944">
        <v>1320</v>
      </c>
      <c r="J31" s="944">
        <v>1320</v>
      </c>
      <c r="K31" s="944">
        <v>1320</v>
      </c>
      <c r="L31" s="944">
        <v>1320</v>
      </c>
      <c r="M31" s="944">
        <v>1320</v>
      </c>
      <c r="N31" s="944">
        <v>1320</v>
      </c>
      <c r="O31" s="944">
        <v>1320</v>
      </c>
      <c r="P31" s="944">
        <v>0</v>
      </c>
      <c r="Q31" s="944">
        <v>0</v>
      </c>
      <c r="R31" s="932" t="s">
        <v>1927</v>
      </c>
      <c r="S31" s="932" t="s">
        <v>1927</v>
      </c>
      <c r="T31" s="932" t="s">
        <v>1996</v>
      </c>
      <c r="U31" s="932" t="s">
        <v>1997</v>
      </c>
      <c r="V31" s="932" t="s">
        <v>1927</v>
      </c>
      <c r="W31" s="932" t="s">
        <v>1927</v>
      </c>
      <c r="X31" s="932" t="s">
        <v>1927</v>
      </c>
      <c r="Y31" s="932" t="s">
        <v>1927</v>
      </c>
      <c r="Z31" s="932" t="s">
        <v>1998</v>
      </c>
    </row>
    <row r="32" spans="1:26">
      <c r="A32" s="943" t="s">
        <v>1850</v>
      </c>
      <c r="B32" s="943" t="s">
        <v>1999</v>
      </c>
      <c r="C32" s="944">
        <v>12069.2</v>
      </c>
      <c r="D32" s="944">
        <v>355.8</v>
      </c>
      <c r="E32" s="944">
        <v>355.8</v>
      </c>
      <c r="F32" s="944">
        <v>355.8</v>
      </c>
      <c r="G32" s="944">
        <v>355.8</v>
      </c>
      <c r="H32" s="944">
        <v>355.8</v>
      </c>
      <c r="I32" s="944">
        <v>8155.8</v>
      </c>
      <c r="J32" s="944">
        <v>355.8</v>
      </c>
      <c r="K32" s="944">
        <v>355.8</v>
      </c>
      <c r="L32" s="944">
        <v>355.8</v>
      </c>
      <c r="M32" s="944">
        <v>355.8</v>
      </c>
      <c r="N32" s="944">
        <v>355.8</v>
      </c>
      <c r="O32" s="944">
        <v>355.4</v>
      </c>
      <c r="P32" s="944">
        <v>0</v>
      </c>
      <c r="Q32" s="944">
        <v>0</v>
      </c>
      <c r="R32" s="932" t="s">
        <v>1927</v>
      </c>
      <c r="S32" s="932" t="s">
        <v>1927</v>
      </c>
      <c r="T32" s="932" t="s">
        <v>2000</v>
      </c>
      <c r="U32" s="932" t="s">
        <v>2001</v>
      </c>
      <c r="V32" s="932" t="s">
        <v>1927</v>
      </c>
      <c r="W32" s="932" t="s">
        <v>1927</v>
      </c>
      <c r="X32" s="932" t="s">
        <v>1927</v>
      </c>
      <c r="Y32" s="932" t="s">
        <v>1927</v>
      </c>
      <c r="Z32" s="932" t="s">
        <v>2002</v>
      </c>
    </row>
    <row r="33" spans="1:26">
      <c r="A33" s="943" t="s">
        <v>1851</v>
      </c>
      <c r="B33" s="943" t="s">
        <v>2003</v>
      </c>
      <c r="C33" s="944">
        <v>12742.5</v>
      </c>
      <c r="D33" s="944">
        <v>1061.9000000000001</v>
      </c>
      <c r="E33" s="944">
        <v>1061.9000000000001</v>
      </c>
      <c r="F33" s="944">
        <v>1061.9000000000001</v>
      </c>
      <c r="G33" s="944">
        <v>1061.9000000000001</v>
      </c>
      <c r="H33" s="944">
        <v>1061.9000000000001</v>
      </c>
      <c r="I33" s="944">
        <v>1061.9000000000001</v>
      </c>
      <c r="J33" s="944">
        <v>1061.9000000000001</v>
      </c>
      <c r="K33" s="944">
        <v>1061.9000000000001</v>
      </c>
      <c r="L33" s="944">
        <v>1061.9000000000001</v>
      </c>
      <c r="M33" s="944">
        <v>1061.9000000000001</v>
      </c>
      <c r="N33" s="944">
        <v>1061.9000000000001</v>
      </c>
      <c r="O33" s="944">
        <v>1061.5999999999999</v>
      </c>
      <c r="P33" s="944">
        <v>0</v>
      </c>
      <c r="Q33" s="944">
        <v>0</v>
      </c>
      <c r="R33" s="932" t="s">
        <v>1927</v>
      </c>
      <c r="S33" s="932" t="s">
        <v>1927</v>
      </c>
      <c r="T33" s="932" t="s">
        <v>2004</v>
      </c>
      <c r="U33" s="932" t="s">
        <v>2005</v>
      </c>
      <c r="V33" s="932" t="s">
        <v>1927</v>
      </c>
      <c r="W33" s="932" t="s">
        <v>1927</v>
      </c>
      <c r="X33" s="932" t="s">
        <v>1927</v>
      </c>
      <c r="Y33" s="932" t="s">
        <v>1927</v>
      </c>
      <c r="Z33" s="932" t="s">
        <v>2006</v>
      </c>
    </row>
    <row r="34" spans="1:26">
      <c r="A34" s="943" t="s">
        <v>1852</v>
      </c>
      <c r="B34" s="943" t="s">
        <v>2007</v>
      </c>
      <c r="C34" s="944">
        <v>19742.2</v>
      </c>
      <c r="D34" s="944">
        <v>1145.2</v>
      </c>
      <c r="E34" s="944">
        <v>8290.4</v>
      </c>
      <c r="F34" s="944">
        <v>1145.2</v>
      </c>
      <c r="G34" s="944">
        <v>3435.6</v>
      </c>
      <c r="H34" s="944">
        <v>0</v>
      </c>
      <c r="I34" s="944">
        <v>0</v>
      </c>
      <c r="J34" s="944">
        <v>3435.6</v>
      </c>
      <c r="K34" s="944">
        <v>0</v>
      </c>
      <c r="L34" s="944">
        <v>0</v>
      </c>
      <c r="M34" s="944">
        <v>2290.1999999999998</v>
      </c>
      <c r="N34" s="944">
        <v>0</v>
      </c>
      <c r="O34" s="944">
        <v>0</v>
      </c>
      <c r="P34" s="944">
        <v>0</v>
      </c>
      <c r="Q34" s="944">
        <v>0</v>
      </c>
      <c r="R34" s="932" t="s">
        <v>1927</v>
      </c>
      <c r="S34" s="932" t="s">
        <v>1927</v>
      </c>
      <c r="T34" s="932" t="s">
        <v>2008</v>
      </c>
      <c r="U34" s="932" t="s">
        <v>2009</v>
      </c>
      <c r="V34" s="932" t="s">
        <v>1927</v>
      </c>
      <c r="W34" s="932" t="s">
        <v>1927</v>
      </c>
      <c r="X34" s="932" t="s">
        <v>1927</v>
      </c>
      <c r="Y34" s="932" t="s">
        <v>1927</v>
      </c>
      <c r="Z34" s="932" t="s">
        <v>2010</v>
      </c>
    </row>
    <row r="35" spans="1:26">
      <c r="A35" s="943" t="s">
        <v>1853</v>
      </c>
      <c r="B35" s="943" t="s">
        <v>2011</v>
      </c>
      <c r="C35" s="944">
        <v>485.1</v>
      </c>
      <c r="D35" s="944">
        <v>0</v>
      </c>
      <c r="E35" s="944">
        <v>0</v>
      </c>
      <c r="F35" s="944">
        <v>0</v>
      </c>
      <c r="G35" s="944">
        <v>485.1</v>
      </c>
      <c r="H35" s="944">
        <v>0</v>
      </c>
      <c r="I35" s="944">
        <v>0</v>
      </c>
      <c r="J35" s="944">
        <v>0</v>
      </c>
      <c r="K35" s="944">
        <v>0</v>
      </c>
      <c r="L35" s="944">
        <v>0</v>
      </c>
      <c r="M35" s="944">
        <v>0</v>
      </c>
      <c r="N35" s="944">
        <v>0</v>
      </c>
      <c r="O35" s="944">
        <v>0</v>
      </c>
      <c r="P35" s="944">
        <v>0</v>
      </c>
      <c r="Q35" s="944">
        <v>0</v>
      </c>
      <c r="R35" s="932" t="s">
        <v>1927</v>
      </c>
      <c r="S35" s="932" t="s">
        <v>1927</v>
      </c>
      <c r="T35" s="932" t="s">
        <v>1927</v>
      </c>
      <c r="U35" s="932" t="s">
        <v>2012</v>
      </c>
      <c r="V35" s="932" t="s">
        <v>1927</v>
      </c>
      <c r="W35" s="932" t="s">
        <v>1927</v>
      </c>
      <c r="X35" s="932" t="s">
        <v>1927</v>
      </c>
      <c r="Y35" s="932" t="s">
        <v>1927</v>
      </c>
      <c r="Z35" s="932" t="s">
        <v>2013</v>
      </c>
    </row>
    <row r="36" spans="1:26">
      <c r="A36" s="943" t="s">
        <v>1854</v>
      </c>
      <c r="B36" s="943" t="s">
        <v>2014</v>
      </c>
      <c r="C36" s="944">
        <v>485.1</v>
      </c>
      <c r="D36" s="944">
        <v>0</v>
      </c>
      <c r="E36" s="944">
        <v>0</v>
      </c>
      <c r="F36" s="944">
        <v>0</v>
      </c>
      <c r="G36" s="944">
        <v>485.1</v>
      </c>
      <c r="H36" s="944">
        <v>0</v>
      </c>
      <c r="I36" s="944">
        <v>0</v>
      </c>
      <c r="J36" s="944">
        <v>0</v>
      </c>
      <c r="K36" s="944">
        <v>0</v>
      </c>
      <c r="L36" s="944">
        <v>0</v>
      </c>
      <c r="M36" s="944">
        <v>0</v>
      </c>
      <c r="N36" s="944">
        <v>0</v>
      </c>
      <c r="O36" s="944">
        <v>0</v>
      </c>
      <c r="P36" s="944">
        <v>0</v>
      </c>
      <c r="Q36" s="944">
        <v>0</v>
      </c>
      <c r="R36" s="932" t="s">
        <v>1927</v>
      </c>
      <c r="S36" s="932" t="s">
        <v>1927</v>
      </c>
      <c r="T36" s="932" t="s">
        <v>2015</v>
      </c>
      <c r="U36" s="932" t="s">
        <v>2016</v>
      </c>
      <c r="V36" s="932" t="s">
        <v>1927</v>
      </c>
      <c r="W36" s="932" t="s">
        <v>1927</v>
      </c>
      <c r="X36" s="932" t="s">
        <v>1927</v>
      </c>
      <c r="Y36" s="932" t="s">
        <v>1927</v>
      </c>
      <c r="Z36" s="932" t="s">
        <v>2017</v>
      </c>
    </row>
    <row r="37" spans="1:26">
      <c r="A37" s="943" t="s">
        <v>1855</v>
      </c>
      <c r="B37" s="943" t="s">
        <v>2018</v>
      </c>
      <c r="C37" s="944">
        <v>54827.8</v>
      </c>
      <c r="D37" s="944">
        <v>850</v>
      </c>
      <c r="E37" s="944">
        <v>16354</v>
      </c>
      <c r="F37" s="944">
        <v>8250</v>
      </c>
      <c r="G37" s="944">
        <v>0</v>
      </c>
      <c r="H37" s="944">
        <v>5894.5</v>
      </c>
      <c r="I37" s="944">
        <v>8250</v>
      </c>
      <c r="J37" s="944">
        <v>5894.5</v>
      </c>
      <c r="K37" s="944">
        <v>0</v>
      </c>
      <c r="L37" s="944">
        <v>8250</v>
      </c>
      <c r="M37" s="944">
        <v>1084.8</v>
      </c>
      <c r="N37" s="944">
        <v>0</v>
      </c>
      <c r="O37" s="944">
        <v>0</v>
      </c>
      <c r="P37" s="944">
        <v>0</v>
      </c>
      <c r="Q37" s="944">
        <v>0</v>
      </c>
      <c r="R37" s="932" t="s">
        <v>1927</v>
      </c>
      <c r="S37" s="932" t="s">
        <v>1927</v>
      </c>
      <c r="T37" s="932" t="s">
        <v>1927</v>
      </c>
      <c r="U37" s="932" t="s">
        <v>2019</v>
      </c>
      <c r="V37" s="932" t="s">
        <v>1927</v>
      </c>
      <c r="W37" s="932" t="s">
        <v>1927</v>
      </c>
      <c r="X37" s="932" t="s">
        <v>1927</v>
      </c>
      <c r="Y37" s="932" t="s">
        <v>1927</v>
      </c>
      <c r="Z37" s="932" t="s">
        <v>2020</v>
      </c>
    </row>
    <row r="38" spans="1:26">
      <c r="A38" s="943" t="s">
        <v>1856</v>
      </c>
      <c r="B38" s="943" t="s">
        <v>2021</v>
      </c>
      <c r="C38" s="944">
        <v>31250</v>
      </c>
      <c r="D38" s="944">
        <v>0</v>
      </c>
      <c r="E38" s="944">
        <v>6500</v>
      </c>
      <c r="F38" s="944">
        <v>8250</v>
      </c>
      <c r="G38" s="944">
        <v>0</v>
      </c>
      <c r="H38" s="944">
        <v>0</v>
      </c>
      <c r="I38" s="944">
        <v>8250</v>
      </c>
      <c r="J38" s="944">
        <v>0</v>
      </c>
      <c r="K38" s="944">
        <v>0</v>
      </c>
      <c r="L38" s="944">
        <v>8250</v>
      </c>
      <c r="M38" s="944">
        <v>0</v>
      </c>
      <c r="N38" s="944">
        <v>0</v>
      </c>
      <c r="O38" s="944">
        <v>0</v>
      </c>
      <c r="P38" s="944">
        <v>0</v>
      </c>
      <c r="Q38" s="944">
        <v>0</v>
      </c>
      <c r="R38" s="932" t="s">
        <v>1927</v>
      </c>
      <c r="S38" s="932" t="s">
        <v>1927</v>
      </c>
      <c r="T38" s="932" t="s">
        <v>2022</v>
      </c>
      <c r="U38" s="932" t="s">
        <v>2023</v>
      </c>
      <c r="V38" s="932" t="s">
        <v>1927</v>
      </c>
      <c r="W38" s="932" t="s">
        <v>1927</v>
      </c>
      <c r="X38" s="932" t="s">
        <v>1927</v>
      </c>
      <c r="Y38" s="932" t="s">
        <v>1927</v>
      </c>
      <c r="Z38" s="932" t="s">
        <v>230</v>
      </c>
    </row>
    <row r="39" spans="1:26">
      <c r="A39" s="943" t="s">
        <v>1857</v>
      </c>
      <c r="B39" s="943" t="s">
        <v>2024</v>
      </c>
      <c r="C39" s="944">
        <v>23577.8</v>
      </c>
      <c r="D39" s="944">
        <v>850</v>
      </c>
      <c r="E39" s="944">
        <v>9854</v>
      </c>
      <c r="F39" s="944">
        <v>0</v>
      </c>
      <c r="G39" s="944">
        <v>0</v>
      </c>
      <c r="H39" s="944">
        <v>5894.5</v>
      </c>
      <c r="I39" s="944">
        <v>0</v>
      </c>
      <c r="J39" s="944">
        <v>5894.5</v>
      </c>
      <c r="K39" s="944">
        <v>0</v>
      </c>
      <c r="L39" s="944">
        <v>0</v>
      </c>
      <c r="M39" s="944">
        <v>1084.8</v>
      </c>
      <c r="N39" s="944">
        <v>0</v>
      </c>
      <c r="O39" s="944">
        <v>0</v>
      </c>
      <c r="P39" s="944">
        <v>0</v>
      </c>
      <c r="Q39" s="944">
        <v>0</v>
      </c>
      <c r="R39" s="932" t="s">
        <v>1927</v>
      </c>
      <c r="S39" s="932" t="s">
        <v>1927</v>
      </c>
      <c r="T39" s="932" t="s">
        <v>2025</v>
      </c>
      <c r="U39" s="932" t="s">
        <v>2026</v>
      </c>
      <c r="V39" s="932" t="s">
        <v>1927</v>
      </c>
      <c r="W39" s="932" t="s">
        <v>1927</v>
      </c>
      <c r="X39" s="932" t="s">
        <v>1927</v>
      </c>
      <c r="Y39" s="932" t="s">
        <v>1927</v>
      </c>
      <c r="Z39" s="932" t="s">
        <v>2027</v>
      </c>
    </row>
    <row r="40" spans="1:26">
      <c r="A40" s="943" t="s">
        <v>1858</v>
      </c>
      <c r="B40" s="943" t="s">
        <v>2028</v>
      </c>
      <c r="C40" s="944">
        <v>23021.200000000001</v>
      </c>
      <c r="D40" s="944">
        <v>1918.4</v>
      </c>
      <c r="E40" s="944">
        <v>1918.4</v>
      </c>
      <c r="F40" s="944">
        <v>1918.4</v>
      </c>
      <c r="G40" s="944">
        <v>1918.4</v>
      </c>
      <c r="H40" s="944">
        <v>1918.4</v>
      </c>
      <c r="I40" s="944">
        <v>1918.4</v>
      </c>
      <c r="J40" s="944">
        <v>1918.4</v>
      </c>
      <c r="K40" s="944">
        <v>1918.4</v>
      </c>
      <c r="L40" s="944">
        <v>1918.4</v>
      </c>
      <c r="M40" s="944">
        <v>1918.4</v>
      </c>
      <c r="N40" s="944">
        <v>1918.4</v>
      </c>
      <c r="O40" s="944">
        <v>1918.8</v>
      </c>
      <c r="P40" s="944">
        <v>0</v>
      </c>
      <c r="Q40" s="944">
        <v>0</v>
      </c>
      <c r="R40" s="932" t="s">
        <v>1927</v>
      </c>
      <c r="S40" s="932" t="s">
        <v>1927</v>
      </c>
      <c r="T40" s="932" t="s">
        <v>1927</v>
      </c>
      <c r="U40" s="932" t="s">
        <v>2029</v>
      </c>
      <c r="V40" s="932" t="s">
        <v>1927</v>
      </c>
      <c r="W40" s="932" t="s">
        <v>1927</v>
      </c>
      <c r="X40" s="932" t="s">
        <v>1927</v>
      </c>
      <c r="Y40" s="932" t="s">
        <v>1927</v>
      </c>
      <c r="Z40" s="932" t="s">
        <v>2030</v>
      </c>
    </row>
    <row r="41" spans="1:26">
      <c r="A41" s="943" t="s">
        <v>1859</v>
      </c>
      <c r="B41" s="943" t="s">
        <v>2031</v>
      </c>
      <c r="C41" s="944">
        <v>23021.200000000001</v>
      </c>
      <c r="D41" s="944">
        <v>1918.4</v>
      </c>
      <c r="E41" s="944">
        <v>1918.4</v>
      </c>
      <c r="F41" s="944">
        <v>1918.4</v>
      </c>
      <c r="G41" s="944">
        <v>1918.4</v>
      </c>
      <c r="H41" s="944">
        <v>1918.4</v>
      </c>
      <c r="I41" s="944">
        <v>1918.4</v>
      </c>
      <c r="J41" s="944">
        <v>1918.4</v>
      </c>
      <c r="K41" s="944">
        <v>1918.4</v>
      </c>
      <c r="L41" s="944">
        <v>1918.4</v>
      </c>
      <c r="M41" s="944">
        <v>1918.4</v>
      </c>
      <c r="N41" s="944">
        <v>1918.4</v>
      </c>
      <c r="O41" s="944">
        <v>1918.8</v>
      </c>
      <c r="P41" s="944">
        <v>0</v>
      </c>
      <c r="Q41" s="944">
        <v>0</v>
      </c>
      <c r="R41" s="932" t="s">
        <v>1927</v>
      </c>
      <c r="S41" s="932" t="s">
        <v>1927</v>
      </c>
      <c r="T41" s="932" t="s">
        <v>2032</v>
      </c>
      <c r="U41" s="932" t="s">
        <v>2033</v>
      </c>
      <c r="V41" s="932" t="s">
        <v>1927</v>
      </c>
      <c r="W41" s="932" t="s">
        <v>1927</v>
      </c>
      <c r="X41" s="932" t="s">
        <v>1927</v>
      </c>
      <c r="Y41" s="932" t="s">
        <v>1927</v>
      </c>
      <c r="Z41" s="932" t="s">
        <v>2034</v>
      </c>
    </row>
    <row r="42" spans="1:26">
      <c r="A42" s="943" t="s">
        <v>1860</v>
      </c>
      <c r="B42" s="943" t="s">
        <v>2035</v>
      </c>
      <c r="C42" s="944">
        <v>259343.3</v>
      </c>
      <c r="D42" s="944">
        <v>21818.6</v>
      </c>
      <c r="E42" s="944">
        <v>26163.599999999999</v>
      </c>
      <c r="F42" s="944">
        <v>27164.5</v>
      </c>
      <c r="G42" s="944">
        <v>32536.2</v>
      </c>
      <c r="H42" s="944">
        <v>20718.599999999999</v>
      </c>
      <c r="I42" s="944">
        <v>23286.6</v>
      </c>
      <c r="J42" s="944">
        <v>11694</v>
      </c>
      <c r="K42" s="944">
        <v>11918.4</v>
      </c>
      <c r="L42" s="944">
        <v>16193.8</v>
      </c>
      <c r="M42" s="944">
        <v>28061.5</v>
      </c>
      <c r="N42" s="944">
        <v>19894</v>
      </c>
      <c r="O42" s="944">
        <v>19893.5</v>
      </c>
      <c r="P42" s="944">
        <v>0</v>
      </c>
      <c r="Q42" s="944">
        <v>0</v>
      </c>
      <c r="R42" s="932" t="s">
        <v>1927</v>
      </c>
      <c r="S42" s="932" t="s">
        <v>1927</v>
      </c>
      <c r="T42" s="932" t="s">
        <v>1927</v>
      </c>
      <c r="U42" s="932" t="s">
        <v>2036</v>
      </c>
      <c r="V42" s="932" t="s">
        <v>1927</v>
      </c>
      <c r="W42" s="932" t="s">
        <v>1927</v>
      </c>
      <c r="X42" s="932" t="s">
        <v>1927</v>
      </c>
      <c r="Y42" s="932" t="s">
        <v>1927</v>
      </c>
      <c r="Z42" s="932" t="s">
        <v>2037</v>
      </c>
    </row>
    <row r="43" spans="1:26">
      <c r="A43" s="943" t="s">
        <v>1861</v>
      </c>
      <c r="B43" s="943" t="s">
        <v>2038</v>
      </c>
      <c r="C43" s="944">
        <v>209727.3</v>
      </c>
      <c r="D43" s="944">
        <v>20794</v>
      </c>
      <c r="E43" s="944">
        <v>19694</v>
      </c>
      <c r="F43" s="944">
        <v>19694</v>
      </c>
      <c r="G43" s="944">
        <v>19694</v>
      </c>
      <c r="H43" s="944">
        <v>19694</v>
      </c>
      <c r="I43" s="944">
        <v>11694</v>
      </c>
      <c r="J43" s="944">
        <v>11694</v>
      </c>
      <c r="K43" s="944">
        <v>11694</v>
      </c>
      <c r="L43" s="944">
        <v>15993.8</v>
      </c>
      <c r="M43" s="944">
        <v>19694</v>
      </c>
      <c r="N43" s="944">
        <v>19694</v>
      </c>
      <c r="O43" s="944">
        <v>19693.5</v>
      </c>
      <c r="P43" s="944">
        <v>0</v>
      </c>
      <c r="Q43" s="944">
        <v>0</v>
      </c>
      <c r="R43" s="932" t="s">
        <v>1927</v>
      </c>
      <c r="S43" s="932" t="s">
        <v>1927</v>
      </c>
      <c r="T43" s="932" t="s">
        <v>2039</v>
      </c>
      <c r="U43" s="932" t="s">
        <v>2040</v>
      </c>
      <c r="V43" s="932" t="s">
        <v>1927</v>
      </c>
      <c r="W43" s="932" t="s">
        <v>1927</v>
      </c>
      <c r="X43" s="932" t="s">
        <v>1927</v>
      </c>
      <c r="Y43" s="932" t="s">
        <v>1927</v>
      </c>
      <c r="Z43" s="932" t="s">
        <v>2041</v>
      </c>
    </row>
    <row r="44" spans="1:26">
      <c r="A44" s="943" t="s">
        <v>1862</v>
      </c>
      <c r="B44" s="943" t="s">
        <v>2042</v>
      </c>
      <c r="C44" s="944">
        <v>2852.2</v>
      </c>
      <c r="D44" s="944">
        <v>0</v>
      </c>
      <c r="E44" s="944">
        <v>0</v>
      </c>
      <c r="F44" s="944">
        <v>2852.2</v>
      </c>
      <c r="G44" s="944">
        <v>0</v>
      </c>
      <c r="H44" s="944">
        <v>0</v>
      </c>
      <c r="I44" s="944">
        <v>0</v>
      </c>
      <c r="J44" s="944">
        <v>0</v>
      </c>
      <c r="K44" s="944">
        <v>0</v>
      </c>
      <c r="L44" s="944">
        <v>0</v>
      </c>
      <c r="M44" s="944">
        <v>0</v>
      </c>
      <c r="N44" s="944">
        <v>0</v>
      </c>
      <c r="O44" s="944">
        <v>0</v>
      </c>
      <c r="P44" s="944">
        <v>0</v>
      </c>
      <c r="Q44" s="944">
        <v>0</v>
      </c>
      <c r="R44" s="932" t="s">
        <v>1927</v>
      </c>
      <c r="S44" s="932" t="s">
        <v>1927</v>
      </c>
      <c r="T44" s="932" t="s">
        <v>2043</v>
      </c>
      <c r="U44" s="932" t="s">
        <v>2044</v>
      </c>
      <c r="V44" s="932" t="s">
        <v>1927</v>
      </c>
      <c r="W44" s="932" t="s">
        <v>1927</v>
      </c>
      <c r="X44" s="932" t="s">
        <v>1927</v>
      </c>
      <c r="Y44" s="932" t="s">
        <v>1927</v>
      </c>
      <c r="Z44" s="932" t="s">
        <v>2045</v>
      </c>
    </row>
    <row r="45" spans="1:26">
      <c r="A45" s="943" t="s">
        <v>1863</v>
      </c>
      <c r="B45" s="943" t="s">
        <v>2046</v>
      </c>
      <c r="C45" s="944">
        <v>871.2</v>
      </c>
      <c r="D45" s="944">
        <v>0</v>
      </c>
      <c r="E45" s="944">
        <v>0</v>
      </c>
      <c r="F45" s="944">
        <v>871.2</v>
      </c>
      <c r="G45" s="944">
        <v>0</v>
      </c>
      <c r="H45" s="944">
        <v>0</v>
      </c>
      <c r="I45" s="944">
        <v>0</v>
      </c>
      <c r="J45" s="944">
        <v>0</v>
      </c>
      <c r="K45" s="944">
        <v>0</v>
      </c>
      <c r="L45" s="944">
        <v>0</v>
      </c>
      <c r="M45" s="944">
        <v>0</v>
      </c>
      <c r="N45" s="944">
        <v>0</v>
      </c>
      <c r="O45" s="944">
        <v>0</v>
      </c>
      <c r="P45" s="944">
        <v>0</v>
      </c>
      <c r="Q45" s="944">
        <v>0</v>
      </c>
      <c r="R45" s="932" t="s">
        <v>1927</v>
      </c>
      <c r="S45" s="932" t="s">
        <v>1927</v>
      </c>
      <c r="T45" s="932" t="s">
        <v>2047</v>
      </c>
      <c r="U45" s="932" t="s">
        <v>2048</v>
      </c>
      <c r="V45" s="932" t="s">
        <v>1927</v>
      </c>
      <c r="W45" s="932" t="s">
        <v>1927</v>
      </c>
      <c r="X45" s="932" t="s">
        <v>1927</v>
      </c>
      <c r="Y45" s="932" t="s">
        <v>1927</v>
      </c>
      <c r="Z45" s="932" t="s">
        <v>127</v>
      </c>
    </row>
    <row r="46" spans="1:26">
      <c r="A46" s="943" t="s">
        <v>1864</v>
      </c>
      <c r="B46" s="943" t="s">
        <v>2049</v>
      </c>
      <c r="C46" s="944">
        <v>185.1</v>
      </c>
      <c r="D46" s="944">
        <v>0</v>
      </c>
      <c r="E46" s="944">
        <v>0</v>
      </c>
      <c r="F46" s="944">
        <v>0</v>
      </c>
      <c r="G46" s="944">
        <v>185.1</v>
      </c>
      <c r="H46" s="944">
        <v>0</v>
      </c>
      <c r="I46" s="944">
        <v>0</v>
      </c>
      <c r="J46" s="944">
        <v>0</v>
      </c>
      <c r="K46" s="944">
        <v>0</v>
      </c>
      <c r="L46" s="944">
        <v>0</v>
      </c>
      <c r="M46" s="944">
        <v>0</v>
      </c>
      <c r="N46" s="944">
        <v>0</v>
      </c>
      <c r="O46" s="944">
        <v>0</v>
      </c>
      <c r="P46" s="944">
        <v>0</v>
      </c>
      <c r="Q46" s="944">
        <v>0</v>
      </c>
      <c r="R46" s="932" t="s">
        <v>1927</v>
      </c>
      <c r="S46" s="932" t="s">
        <v>1927</v>
      </c>
      <c r="T46" s="932" t="s">
        <v>2050</v>
      </c>
      <c r="U46" s="932" t="s">
        <v>2051</v>
      </c>
      <c r="V46" s="932" t="s">
        <v>1927</v>
      </c>
      <c r="W46" s="932" t="s">
        <v>1927</v>
      </c>
      <c r="X46" s="932" t="s">
        <v>1927</v>
      </c>
      <c r="Y46" s="932" t="s">
        <v>1927</v>
      </c>
      <c r="Z46" s="932" t="s">
        <v>123</v>
      </c>
    </row>
    <row r="47" spans="1:26">
      <c r="A47" s="943" t="s">
        <v>1865</v>
      </c>
      <c r="B47" s="943" t="s">
        <v>2052</v>
      </c>
      <c r="C47" s="944">
        <v>12295</v>
      </c>
      <c r="D47" s="944">
        <v>1024.5999999999999</v>
      </c>
      <c r="E47" s="944">
        <v>1024.5999999999999</v>
      </c>
      <c r="F47" s="944">
        <v>1024.5999999999999</v>
      </c>
      <c r="G47" s="944">
        <v>1024.5999999999999</v>
      </c>
      <c r="H47" s="944">
        <v>1024.5999999999999</v>
      </c>
      <c r="I47" s="944">
        <v>6147.6</v>
      </c>
      <c r="J47" s="944">
        <v>0</v>
      </c>
      <c r="K47" s="944">
        <v>224.4</v>
      </c>
      <c r="L47" s="944">
        <v>200</v>
      </c>
      <c r="M47" s="944">
        <v>200</v>
      </c>
      <c r="N47" s="944">
        <v>200</v>
      </c>
      <c r="O47" s="944">
        <v>200</v>
      </c>
      <c r="P47" s="944">
        <v>0</v>
      </c>
      <c r="Q47" s="944">
        <v>0</v>
      </c>
      <c r="R47" s="932" t="s">
        <v>1927</v>
      </c>
      <c r="S47" s="932" t="s">
        <v>1927</v>
      </c>
      <c r="T47" s="932" t="s">
        <v>2053</v>
      </c>
      <c r="U47" s="932" t="s">
        <v>2054</v>
      </c>
      <c r="V47" s="932" t="s">
        <v>1927</v>
      </c>
      <c r="W47" s="932" t="s">
        <v>1927</v>
      </c>
      <c r="X47" s="932" t="s">
        <v>1927</v>
      </c>
      <c r="Y47" s="932" t="s">
        <v>1927</v>
      </c>
      <c r="Z47" s="932" t="s">
        <v>2055</v>
      </c>
    </row>
    <row r="48" spans="1:26">
      <c r="A48" s="943" t="s">
        <v>1866</v>
      </c>
      <c r="B48" s="943" t="s">
        <v>2056</v>
      </c>
      <c r="C48" s="944">
        <v>742.5</v>
      </c>
      <c r="D48" s="944">
        <v>0</v>
      </c>
      <c r="E48" s="944">
        <v>0</v>
      </c>
      <c r="F48" s="944">
        <v>0</v>
      </c>
      <c r="G48" s="944">
        <v>742.5</v>
      </c>
      <c r="H48" s="944">
        <v>0</v>
      </c>
      <c r="I48" s="944">
        <v>0</v>
      </c>
      <c r="J48" s="944">
        <v>0</v>
      </c>
      <c r="K48" s="944">
        <v>0</v>
      </c>
      <c r="L48" s="944">
        <v>0</v>
      </c>
      <c r="M48" s="944">
        <v>0</v>
      </c>
      <c r="N48" s="944">
        <v>0</v>
      </c>
      <c r="O48" s="944">
        <v>0</v>
      </c>
      <c r="P48" s="944">
        <v>0</v>
      </c>
      <c r="Q48" s="944">
        <v>0</v>
      </c>
      <c r="R48" s="932" t="s">
        <v>1927</v>
      </c>
      <c r="S48" s="932" t="s">
        <v>1927</v>
      </c>
      <c r="T48" s="932" t="s">
        <v>2057</v>
      </c>
      <c r="U48" s="932" t="s">
        <v>2058</v>
      </c>
      <c r="V48" s="932" t="s">
        <v>1927</v>
      </c>
      <c r="W48" s="932" t="s">
        <v>1927</v>
      </c>
      <c r="X48" s="932" t="s">
        <v>1927</v>
      </c>
      <c r="Y48" s="932" t="s">
        <v>1927</v>
      </c>
      <c r="Z48" s="932" t="s">
        <v>2059</v>
      </c>
    </row>
    <row r="49" spans="1:26">
      <c r="A49" s="943" t="s">
        <v>1867</v>
      </c>
      <c r="B49" s="943" t="s">
        <v>2060</v>
      </c>
      <c r="C49" s="944">
        <v>32670</v>
      </c>
      <c r="D49" s="944">
        <v>0</v>
      </c>
      <c r="E49" s="944">
        <v>5445</v>
      </c>
      <c r="F49" s="944">
        <v>2722.5</v>
      </c>
      <c r="G49" s="944">
        <v>10890</v>
      </c>
      <c r="H49" s="944">
        <v>0</v>
      </c>
      <c r="I49" s="944">
        <v>5445</v>
      </c>
      <c r="J49" s="944">
        <v>0</v>
      </c>
      <c r="K49" s="944">
        <v>0</v>
      </c>
      <c r="L49" s="944">
        <v>0</v>
      </c>
      <c r="M49" s="944">
        <v>8167.5</v>
      </c>
      <c r="N49" s="944">
        <v>0</v>
      </c>
      <c r="O49" s="944">
        <v>0</v>
      </c>
      <c r="P49" s="944">
        <v>0</v>
      </c>
      <c r="Q49" s="944">
        <v>0</v>
      </c>
      <c r="R49" s="932" t="s">
        <v>1927</v>
      </c>
      <c r="S49" s="932" t="s">
        <v>1927</v>
      </c>
      <c r="T49" s="932" t="s">
        <v>2061</v>
      </c>
      <c r="U49" s="932" t="s">
        <v>2062</v>
      </c>
      <c r="V49" s="932" t="s">
        <v>1927</v>
      </c>
      <c r="W49" s="932" t="s">
        <v>1927</v>
      </c>
      <c r="X49" s="932" t="s">
        <v>1927</v>
      </c>
      <c r="Y49" s="932" t="s">
        <v>1927</v>
      </c>
      <c r="Z49" s="932" t="s">
        <v>2063</v>
      </c>
    </row>
    <row r="50" spans="1:26">
      <c r="A50" s="943" t="s">
        <v>1868</v>
      </c>
      <c r="B50" s="943" t="s">
        <v>2064</v>
      </c>
      <c r="C50" s="944">
        <v>3041812.7</v>
      </c>
      <c r="D50" s="944">
        <v>252359</v>
      </c>
      <c r="E50" s="944">
        <v>327359</v>
      </c>
      <c r="F50" s="944">
        <v>252359</v>
      </c>
      <c r="G50" s="944">
        <v>198864</v>
      </c>
      <c r="H50" s="944">
        <v>244359</v>
      </c>
      <c r="I50" s="944">
        <v>252359</v>
      </c>
      <c r="J50" s="944">
        <v>252359</v>
      </c>
      <c r="K50" s="944">
        <v>252359</v>
      </c>
      <c r="L50" s="944">
        <v>252359</v>
      </c>
      <c r="M50" s="944">
        <v>252359</v>
      </c>
      <c r="N50" s="944">
        <v>252359</v>
      </c>
      <c r="O50" s="944">
        <v>252358.7</v>
      </c>
      <c r="P50" s="944">
        <v>0</v>
      </c>
      <c r="Q50" s="944">
        <v>0</v>
      </c>
      <c r="R50" s="932" t="s">
        <v>1927</v>
      </c>
      <c r="S50" s="932" t="s">
        <v>1927</v>
      </c>
      <c r="T50" s="932" t="s">
        <v>1927</v>
      </c>
      <c r="U50" s="932" t="s">
        <v>2065</v>
      </c>
      <c r="V50" s="932" t="s">
        <v>1927</v>
      </c>
      <c r="W50" s="932" t="s">
        <v>1927</v>
      </c>
      <c r="X50" s="932" t="s">
        <v>1927</v>
      </c>
      <c r="Y50" s="932" t="s">
        <v>1927</v>
      </c>
      <c r="Z50" s="932" t="s">
        <v>2066</v>
      </c>
    </row>
    <row r="51" spans="1:26">
      <c r="A51" s="943" t="s">
        <v>1869</v>
      </c>
      <c r="B51" s="943" t="s">
        <v>2067</v>
      </c>
      <c r="C51" s="944">
        <v>21505</v>
      </c>
      <c r="D51" s="944">
        <v>0</v>
      </c>
      <c r="E51" s="944">
        <v>75000</v>
      </c>
      <c r="F51" s="944">
        <v>0</v>
      </c>
      <c r="G51" s="944">
        <v>-53495</v>
      </c>
      <c r="H51" s="944">
        <v>0</v>
      </c>
      <c r="I51" s="944">
        <v>0</v>
      </c>
      <c r="J51" s="944">
        <v>0</v>
      </c>
      <c r="K51" s="944">
        <v>0</v>
      </c>
      <c r="L51" s="944">
        <v>0</v>
      </c>
      <c r="M51" s="944">
        <v>0</v>
      </c>
      <c r="N51" s="944">
        <v>0</v>
      </c>
      <c r="O51" s="944">
        <v>0</v>
      </c>
      <c r="P51" s="944">
        <v>0</v>
      </c>
      <c r="Q51" s="944">
        <v>0</v>
      </c>
      <c r="R51" s="932" t="s">
        <v>1927</v>
      </c>
      <c r="S51" s="932" t="s">
        <v>1927</v>
      </c>
      <c r="T51" s="932" t="s">
        <v>2068</v>
      </c>
      <c r="U51" s="932" t="s">
        <v>2069</v>
      </c>
      <c r="V51" s="932" t="s">
        <v>1927</v>
      </c>
      <c r="W51" s="932" t="s">
        <v>1927</v>
      </c>
      <c r="X51" s="932" t="s">
        <v>1927</v>
      </c>
      <c r="Y51" s="932" t="s">
        <v>1927</v>
      </c>
      <c r="Z51" s="932" t="s">
        <v>2066</v>
      </c>
    </row>
    <row r="52" spans="1:26">
      <c r="A52" s="943" t="s">
        <v>1870</v>
      </c>
      <c r="B52" s="943" t="s">
        <v>2070</v>
      </c>
      <c r="C52" s="944">
        <v>3020307.7</v>
      </c>
      <c r="D52" s="944">
        <v>252359</v>
      </c>
      <c r="E52" s="944">
        <v>252359</v>
      </c>
      <c r="F52" s="944">
        <v>252359</v>
      </c>
      <c r="G52" s="944">
        <v>252359</v>
      </c>
      <c r="H52" s="944">
        <v>244359</v>
      </c>
      <c r="I52" s="944">
        <v>252359</v>
      </c>
      <c r="J52" s="944">
        <v>252359</v>
      </c>
      <c r="K52" s="944">
        <v>252359</v>
      </c>
      <c r="L52" s="944">
        <v>252359</v>
      </c>
      <c r="M52" s="944">
        <v>252359</v>
      </c>
      <c r="N52" s="944">
        <v>252359</v>
      </c>
      <c r="O52" s="944">
        <v>252358.7</v>
      </c>
      <c r="P52" s="944">
        <v>0</v>
      </c>
      <c r="Q52" s="944">
        <v>0</v>
      </c>
      <c r="R52" s="932" t="s">
        <v>1927</v>
      </c>
      <c r="S52" s="932" t="s">
        <v>1927</v>
      </c>
      <c r="T52" s="932" t="s">
        <v>2071</v>
      </c>
      <c r="U52" s="932" t="s">
        <v>2072</v>
      </c>
      <c r="V52" s="932" t="s">
        <v>1927</v>
      </c>
      <c r="W52" s="932" t="s">
        <v>1927</v>
      </c>
      <c r="X52" s="932" t="s">
        <v>1927</v>
      </c>
      <c r="Y52" s="932" t="s">
        <v>1927</v>
      </c>
      <c r="Z52" s="932" t="s">
        <v>2073</v>
      </c>
    </row>
    <row r="53" spans="1:26">
      <c r="A53" s="943" t="s">
        <v>1871</v>
      </c>
      <c r="B53" s="943" t="s">
        <v>2074</v>
      </c>
      <c r="C53" s="944">
        <v>31700</v>
      </c>
      <c r="D53" s="944">
        <v>0</v>
      </c>
      <c r="E53" s="944">
        <v>0</v>
      </c>
      <c r="F53" s="944">
        <v>0</v>
      </c>
      <c r="G53" s="944">
        <v>0</v>
      </c>
      <c r="H53" s="944">
        <v>8000</v>
      </c>
      <c r="I53" s="944">
        <v>0</v>
      </c>
      <c r="J53" s="944">
        <v>0</v>
      </c>
      <c r="K53" s="944">
        <v>0</v>
      </c>
      <c r="L53" s="944">
        <v>0</v>
      </c>
      <c r="M53" s="944">
        <v>0</v>
      </c>
      <c r="N53" s="944">
        <v>0</v>
      </c>
      <c r="O53" s="944">
        <v>23700</v>
      </c>
      <c r="P53" s="944">
        <v>0</v>
      </c>
      <c r="Q53" s="944">
        <v>0</v>
      </c>
      <c r="R53" s="932" t="s">
        <v>1927</v>
      </c>
      <c r="S53" s="932" t="s">
        <v>1927</v>
      </c>
      <c r="T53" s="932" t="s">
        <v>1927</v>
      </c>
      <c r="U53" s="932" t="s">
        <v>2075</v>
      </c>
      <c r="V53" s="932" t="s">
        <v>1927</v>
      </c>
      <c r="W53" s="932" t="s">
        <v>1927</v>
      </c>
      <c r="X53" s="932" t="s">
        <v>1927</v>
      </c>
      <c r="Y53" s="932" t="s">
        <v>1927</v>
      </c>
      <c r="Z53" s="932" t="s">
        <v>2076</v>
      </c>
    </row>
    <row r="54" spans="1:26">
      <c r="A54" s="943" t="s">
        <v>1872</v>
      </c>
      <c r="B54" s="943" t="s">
        <v>2077</v>
      </c>
      <c r="C54" s="944">
        <v>31700</v>
      </c>
      <c r="D54" s="944">
        <v>0</v>
      </c>
      <c r="E54" s="944">
        <v>0</v>
      </c>
      <c r="F54" s="944">
        <v>0</v>
      </c>
      <c r="G54" s="944">
        <v>0</v>
      </c>
      <c r="H54" s="944">
        <v>8000</v>
      </c>
      <c r="I54" s="944">
        <v>0</v>
      </c>
      <c r="J54" s="944">
        <v>0</v>
      </c>
      <c r="K54" s="944">
        <v>0</v>
      </c>
      <c r="L54" s="944">
        <v>0</v>
      </c>
      <c r="M54" s="944">
        <v>0</v>
      </c>
      <c r="N54" s="944">
        <v>0</v>
      </c>
      <c r="O54" s="944">
        <v>23700</v>
      </c>
      <c r="P54" s="944">
        <v>0</v>
      </c>
      <c r="Q54" s="944">
        <v>0</v>
      </c>
      <c r="R54" s="932" t="s">
        <v>1927</v>
      </c>
      <c r="S54" s="932" t="s">
        <v>1927</v>
      </c>
      <c r="T54" s="932" t="s">
        <v>1927</v>
      </c>
      <c r="U54" s="932" t="s">
        <v>2078</v>
      </c>
      <c r="V54" s="932" t="s">
        <v>1927</v>
      </c>
      <c r="W54" s="932" t="s">
        <v>1927</v>
      </c>
      <c r="X54" s="932" t="s">
        <v>1927</v>
      </c>
      <c r="Y54" s="932" t="s">
        <v>1927</v>
      </c>
      <c r="Z54" s="932" t="s">
        <v>2079</v>
      </c>
    </row>
    <row r="55" spans="1:26">
      <c r="A55" s="943" t="s">
        <v>1873</v>
      </c>
      <c r="B55" s="943" t="s">
        <v>2080</v>
      </c>
      <c r="C55" s="944">
        <v>8000</v>
      </c>
      <c r="D55" s="944">
        <v>0</v>
      </c>
      <c r="E55" s="944">
        <v>0</v>
      </c>
      <c r="F55" s="944">
        <v>0</v>
      </c>
      <c r="G55" s="944">
        <v>0</v>
      </c>
      <c r="H55" s="944">
        <v>8000</v>
      </c>
      <c r="I55" s="944">
        <v>0</v>
      </c>
      <c r="J55" s="944">
        <v>0</v>
      </c>
      <c r="K55" s="944">
        <v>0</v>
      </c>
      <c r="L55" s="944">
        <v>0</v>
      </c>
      <c r="M55" s="944">
        <v>0</v>
      </c>
      <c r="N55" s="944">
        <v>0</v>
      </c>
      <c r="O55" s="944">
        <v>0</v>
      </c>
      <c r="P55" s="944">
        <v>0</v>
      </c>
      <c r="Q55" s="944">
        <v>0</v>
      </c>
      <c r="R55" s="932" t="s">
        <v>1927</v>
      </c>
      <c r="S55" s="932" t="s">
        <v>1927</v>
      </c>
      <c r="T55" s="932" t="s">
        <v>2081</v>
      </c>
      <c r="U55" s="932" t="s">
        <v>2082</v>
      </c>
      <c r="V55" s="932" t="s">
        <v>1927</v>
      </c>
      <c r="W55" s="932" t="s">
        <v>1927</v>
      </c>
      <c r="X55" s="932" t="s">
        <v>1927</v>
      </c>
      <c r="Y55" s="932" t="s">
        <v>1927</v>
      </c>
      <c r="Z55" s="932" t="s">
        <v>2083</v>
      </c>
    </row>
    <row r="56" spans="1:26">
      <c r="A56" s="943" t="s">
        <v>1874</v>
      </c>
      <c r="B56" s="943" t="s">
        <v>2084</v>
      </c>
      <c r="C56" s="944">
        <v>23700</v>
      </c>
      <c r="D56" s="944">
        <v>0</v>
      </c>
      <c r="E56" s="944">
        <v>0</v>
      </c>
      <c r="F56" s="944">
        <v>0</v>
      </c>
      <c r="G56" s="944">
        <v>0</v>
      </c>
      <c r="H56" s="944">
        <v>0</v>
      </c>
      <c r="I56" s="944">
        <v>0</v>
      </c>
      <c r="J56" s="944">
        <v>0</v>
      </c>
      <c r="K56" s="944">
        <v>0</v>
      </c>
      <c r="L56" s="944">
        <v>0</v>
      </c>
      <c r="M56" s="944">
        <v>0</v>
      </c>
      <c r="N56" s="944">
        <v>0</v>
      </c>
      <c r="O56" s="944">
        <v>23700</v>
      </c>
      <c r="P56" s="944">
        <v>0</v>
      </c>
      <c r="Q56" s="944">
        <v>0</v>
      </c>
      <c r="R56" s="932" t="s">
        <v>1927</v>
      </c>
      <c r="S56" s="932" t="s">
        <v>1927</v>
      </c>
      <c r="T56" s="932" t="s">
        <v>2085</v>
      </c>
      <c r="U56" s="932" t="s">
        <v>2086</v>
      </c>
      <c r="V56" s="932" t="s">
        <v>1927</v>
      </c>
      <c r="W56" s="932" t="s">
        <v>1927</v>
      </c>
      <c r="X56" s="932" t="s">
        <v>1927</v>
      </c>
      <c r="Y56" s="932" t="s">
        <v>1927</v>
      </c>
      <c r="Z56" s="932" t="s">
        <v>2087</v>
      </c>
    </row>
    <row r="57" spans="1:26">
      <c r="A57" s="943" t="s">
        <v>1875</v>
      </c>
      <c r="B57" s="943" t="s">
        <v>2088</v>
      </c>
      <c r="C57" s="944">
        <v>4500885.8</v>
      </c>
      <c r="D57" s="944">
        <v>361103.6</v>
      </c>
      <c r="E57" s="944">
        <v>464665.4</v>
      </c>
      <c r="F57" s="944">
        <v>375417.1</v>
      </c>
      <c r="G57" s="944">
        <v>321819.3</v>
      </c>
      <c r="H57" s="944">
        <v>365470.5</v>
      </c>
      <c r="I57" s="944">
        <v>391923.4</v>
      </c>
      <c r="J57" s="944">
        <v>362400.9</v>
      </c>
      <c r="K57" s="944">
        <v>349795.2</v>
      </c>
      <c r="L57" s="944">
        <v>362301.2</v>
      </c>
      <c r="M57" s="944">
        <v>370293.9</v>
      </c>
      <c r="N57" s="944">
        <v>358751.4</v>
      </c>
      <c r="O57" s="944">
        <v>416943.9</v>
      </c>
      <c r="P57" s="944">
        <v>0</v>
      </c>
      <c r="Q57" s="944">
        <v>0</v>
      </c>
      <c r="R57" s="932" t="s">
        <v>1927</v>
      </c>
      <c r="S57" s="932" t="s">
        <v>1927</v>
      </c>
      <c r="T57" s="932" t="s">
        <v>1927</v>
      </c>
      <c r="U57" s="932" t="s">
        <v>2089</v>
      </c>
      <c r="V57" s="932" t="s">
        <v>1927</v>
      </c>
      <c r="W57" s="932" t="s">
        <v>1927</v>
      </c>
      <c r="X57" s="932" t="s">
        <v>1927</v>
      </c>
      <c r="Y57" s="932" t="s">
        <v>1927</v>
      </c>
      <c r="Z57" s="932" t="s">
        <v>2090</v>
      </c>
    </row>
    <row r="58" spans="1:26">
      <c r="A58" s="943" t="s">
        <v>1876</v>
      </c>
      <c r="B58" s="943" t="s">
        <v>2091</v>
      </c>
      <c r="C58" s="944">
        <v>4000885.8</v>
      </c>
      <c r="D58" s="944">
        <v>319437</v>
      </c>
      <c r="E58" s="944">
        <v>422998.8</v>
      </c>
      <c r="F58" s="944">
        <v>333750.5</v>
      </c>
      <c r="G58" s="944">
        <v>280152.7</v>
      </c>
      <c r="H58" s="944">
        <v>323803.90000000002</v>
      </c>
      <c r="I58" s="944">
        <v>350256.8</v>
      </c>
      <c r="J58" s="944">
        <v>320734.3</v>
      </c>
      <c r="K58" s="944">
        <v>308128.59999999998</v>
      </c>
      <c r="L58" s="944">
        <v>320634.59999999998</v>
      </c>
      <c r="M58" s="944">
        <v>328627.3</v>
      </c>
      <c r="N58" s="944">
        <v>317084.79999999999</v>
      </c>
      <c r="O58" s="944">
        <v>375276.5</v>
      </c>
      <c r="P58" s="944">
        <v>0</v>
      </c>
      <c r="Q58" s="944">
        <v>0</v>
      </c>
      <c r="R58" s="932" t="s">
        <v>1927</v>
      </c>
      <c r="S58" s="932" t="s">
        <v>1927</v>
      </c>
      <c r="T58" s="932" t="s">
        <v>1927</v>
      </c>
      <c r="U58" s="932" t="s">
        <v>2092</v>
      </c>
      <c r="V58" s="932" t="s">
        <v>1927</v>
      </c>
      <c r="W58" s="932" t="s">
        <v>1927</v>
      </c>
      <c r="X58" s="932" t="s">
        <v>1927</v>
      </c>
      <c r="Y58" s="932" t="s">
        <v>1927</v>
      </c>
      <c r="Z58" s="932" t="s">
        <v>2093</v>
      </c>
    </row>
    <row r="59" spans="1:26">
      <c r="A59" s="943" t="s">
        <v>1877</v>
      </c>
      <c r="B59" s="943" t="s">
        <v>2094</v>
      </c>
      <c r="C59" s="944">
        <v>4000885.8</v>
      </c>
      <c r="D59" s="944">
        <v>319437</v>
      </c>
      <c r="E59" s="944">
        <v>422998.8</v>
      </c>
      <c r="F59" s="944">
        <v>333750.5</v>
      </c>
      <c r="G59" s="944">
        <v>280152.7</v>
      </c>
      <c r="H59" s="944">
        <v>323803.90000000002</v>
      </c>
      <c r="I59" s="944">
        <v>350256.8</v>
      </c>
      <c r="J59" s="944">
        <v>320734.3</v>
      </c>
      <c r="K59" s="944">
        <v>308128.59999999998</v>
      </c>
      <c r="L59" s="944">
        <v>320634.59999999998</v>
      </c>
      <c r="M59" s="944">
        <v>328627.3</v>
      </c>
      <c r="N59" s="944">
        <v>317084.79999999999</v>
      </c>
      <c r="O59" s="944">
        <v>375276.5</v>
      </c>
      <c r="P59" s="944">
        <v>0</v>
      </c>
      <c r="Q59" s="944">
        <v>0</v>
      </c>
      <c r="R59" s="932" t="s">
        <v>1927</v>
      </c>
      <c r="S59" s="932" t="s">
        <v>1927</v>
      </c>
      <c r="T59" s="932" t="s">
        <v>2095</v>
      </c>
      <c r="U59" s="932" t="s">
        <v>2096</v>
      </c>
      <c r="V59" s="932" t="s">
        <v>1927</v>
      </c>
      <c r="W59" s="932" t="s">
        <v>1927</v>
      </c>
      <c r="X59" s="932" t="s">
        <v>1927</v>
      </c>
      <c r="Y59" s="932" t="s">
        <v>1927</v>
      </c>
      <c r="Z59" s="932" t="s">
        <v>2093</v>
      </c>
    </row>
    <row r="60" spans="1:26">
      <c r="A60" s="943" t="s">
        <v>1878</v>
      </c>
      <c r="B60" s="943" t="s">
        <v>2097</v>
      </c>
      <c r="C60" s="944">
        <v>500000</v>
      </c>
      <c r="D60" s="944">
        <v>41666.6</v>
      </c>
      <c r="E60" s="944">
        <v>41666.6</v>
      </c>
      <c r="F60" s="944">
        <v>41666.6</v>
      </c>
      <c r="G60" s="944">
        <v>41666.6</v>
      </c>
      <c r="H60" s="944">
        <v>41666.6</v>
      </c>
      <c r="I60" s="944">
        <v>41666.6</v>
      </c>
      <c r="J60" s="944">
        <v>41666.6</v>
      </c>
      <c r="K60" s="944">
        <v>41666.6</v>
      </c>
      <c r="L60" s="944">
        <v>41666.6</v>
      </c>
      <c r="M60" s="944">
        <v>41666.6</v>
      </c>
      <c r="N60" s="944">
        <v>41666.6</v>
      </c>
      <c r="O60" s="944">
        <v>41667.4</v>
      </c>
      <c r="P60" s="944">
        <v>0</v>
      </c>
      <c r="Q60" s="944">
        <v>0</v>
      </c>
      <c r="R60" s="932" t="s">
        <v>1927</v>
      </c>
      <c r="S60" s="932" t="s">
        <v>1927</v>
      </c>
      <c r="T60" s="932" t="s">
        <v>1927</v>
      </c>
      <c r="U60" s="932" t="s">
        <v>2098</v>
      </c>
      <c r="V60" s="932" t="s">
        <v>1927</v>
      </c>
      <c r="W60" s="932" t="s">
        <v>1927</v>
      </c>
      <c r="X60" s="932" t="s">
        <v>1927</v>
      </c>
      <c r="Y60" s="932" t="s">
        <v>1927</v>
      </c>
      <c r="Z60" s="932" t="s">
        <v>2099</v>
      </c>
    </row>
    <row r="61" spans="1:26">
      <c r="A61" s="943" t="s">
        <v>1879</v>
      </c>
      <c r="B61" s="943" t="s">
        <v>2100</v>
      </c>
      <c r="C61" s="944">
        <v>400000</v>
      </c>
      <c r="D61" s="944">
        <v>33333.300000000003</v>
      </c>
      <c r="E61" s="944">
        <v>33333.300000000003</v>
      </c>
      <c r="F61" s="944">
        <v>33333.300000000003</v>
      </c>
      <c r="G61" s="944">
        <v>33333.300000000003</v>
      </c>
      <c r="H61" s="944">
        <v>33333.300000000003</v>
      </c>
      <c r="I61" s="944">
        <v>33333.300000000003</v>
      </c>
      <c r="J61" s="944">
        <v>33333.300000000003</v>
      </c>
      <c r="K61" s="944">
        <v>33333.300000000003</v>
      </c>
      <c r="L61" s="944">
        <v>33333.300000000003</v>
      </c>
      <c r="M61" s="944">
        <v>33333.300000000003</v>
      </c>
      <c r="N61" s="944">
        <v>33333.300000000003</v>
      </c>
      <c r="O61" s="944">
        <v>33333.699999999997</v>
      </c>
      <c r="P61" s="944">
        <v>0</v>
      </c>
      <c r="Q61" s="944">
        <v>0</v>
      </c>
      <c r="R61" s="932" t="s">
        <v>1927</v>
      </c>
      <c r="S61" s="932" t="s">
        <v>1927</v>
      </c>
      <c r="T61" s="932" t="s">
        <v>2101</v>
      </c>
      <c r="U61" s="932" t="s">
        <v>2102</v>
      </c>
      <c r="V61" s="932" t="s">
        <v>1927</v>
      </c>
      <c r="W61" s="932" t="s">
        <v>1927</v>
      </c>
      <c r="X61" s="932" t="s">
        <v>1927</v>
      </c>
      <c r="Y61" s="932" t="s">
        <v>1927</v>
      </c>
      <c r="Z61" s="932" t="s">
        <v>2103</v>
      </c>
    </row>
    <row r="62" spans="1:26">
      <c r="A62" s="943" t="s">
        <v>1880</v>
      </c>
      <c r="B62" s="943" t="s">
        <v>2104</v>
      </c>
      <c r="C62" s="944">
        <v>100000</v>
      </c>
      <c r="D62" s="944">
        <v>8333.2999999999993</v>
      </c>
      <c r="E62" s="944">
        <v>8333.2999999999993</v>
      </c>
      <c r="F62" s="944">
        <v>8333.2999999999993</v>
      </c>
      <c r="G62" s="944">
        <v>8333.2999999999993</v>
      </c>
      <c r="H62" s="944">
        <v>8333.2999999999993</v>
      </c>
      <c r="I62" s="944">
        <v>8333.2999999999993</v>
      </c>
      <c r="J62" s="944">
        <v>8333.2999999999993</v>
      </c>
      <c r="K62" s="944">
        <v>8333.2999999999993</v>
      </c>
      <c r="L62" s="944">
        <v>8333.2999999999993</v>
      </c>
      <c r="M62" s="944">
        <v>8333.2999999999993</v>
      </c>
      <c r="N62" s="944">
        <v>8333.2999999999993</v>
      </c>
      <c r="O62" s="944">
        <v>8333.7000000000007</v>
      </c>
      <c r="P62" s="944">
        <v>0</v>
      </c>
      <c r="Q62" s="944">
        <v>0</v>
      </c>
      <c r="R62" s="932" t="s">
        <v>1927</v>
      </c>
      <c r="S62" s="932" t="s">
        <v>1927</v>
      </c>
      <c r="T62" s="932" t="s">
        <v>2105</v>
      </c>
      <c r="U62" s="932" t="s">
        <v>2106</v>
      </c>
      <c r="V62" s="932" t="s">
        <v>1927</v>
      </c>
      <c r="W62" s="932" t="s">
        <v>1927</v>
      </c>
      <c r="X62" s="932" t="s">
        <v>1927</v>
      </c>
      <c r="Y62" s="932" t="s">
        <v>1927</v>
      </c>
      <c r="Z62" s="932" t="s">
        <v>2107</v>
      </c>
    </row>
    <row r="63" spans="1:26">
      <c r="A63" s="943" t="s">
        <v>1881</v>
      </c>
      <c r="B63" s="943" t="s">
        <v>2108</v>
      </c>
      <c r="C63" s="944">
        <v>169</v>
      </c>
      <c r="D63" s="944">
        <v>169</v>
      </c>
      <c r="E63" s="944">
        <v>169</v>
      </c>
      <c r="F63" s="944">
        <v>169</v>
      </c>
      <c r="G63" s="944">
        <v>169</v>
      </c>
      <c r="H63" s="944">
        <v>169</v>
      </c>
      <c r="I63" s="944">
        <v>169</v>
      </c>
      <c r="J63" s="944">
        <v>169</v>
      </c>
      <c r="K63" s="944">
        <v>169</v>
      </c>
      <c r="L63" s="944">
        <v>169</v>
      </c>
      <c r="M63" s="944">
        <v>169</v>
      </c>
      <c r="N63" s="944">
        <v>169</v>
      </c>
      <c r="O63" s="944">
        <v>169</v>
      </c>
      <c r="P63" s="944">
        <v>0</v>
      </c>
      <c r="Q63" s="944">
        <v>0</v>
      </c>
      <c r="R63" s="932" t="s">
        <v>1927</v>
      </c>
      <c r="S63" s="932" t="s">
        <v>1927</v>
      </c>
      <c r="T63" s="932" t="s">
        <v>1927</v>
      </c>
      <c r="U63" s="932" t="s">
        <v>2109</v>
      </c>
      <c r="V63" s="932" t="s">
        <v>1927</v>
      </c>
      <c r="W63" s="932" t="s">
        <v>1927</v>
      </c>
      <c r="X63" s="932" t="s">
        <v>1927</v>
      </c>
      <c r="Y63" s="932" t="s">
        <v>1927</v>
      </c>
      <c r="Z63" s="932" t="s">
        <v>2110</v>
      </c>
    </row>
    <row r="64" spans="1:26">
      <c r="A64" s="943" t="s">
        <v>1882</v>
      </c>
      <c r="B64" s="943" t="s">
        <v>2111</v>
      </c>
      <c r="C64" s="944">
        <v>1</v>
      </c>
      <c r="D64" s="944">
        <v>1</v>
      </c>
      <c r="E64" s="944">
        <v>1</v>
      </c>
      <c r="F64" s="944">
        <v>1</v>
      </c>
      <c r="G64" s="944">
        <v>1</v>
      </c>
      <c r="H64" s="944">
        <v>1</v>
      </c>
      <c r="I64" s="944">
        <v>1</v>
      </c>
      <c r="J64" s="944">
        <v>1</v>
      </c>
      <c r="K64" s="944">
        <v>1</v>
      </c>
      <c r="L64" s="944">
        <v>1</v>
      </c>
      <c r="M64" s="944">
        <v>1</v>
      </c>
      <c r="N64" s="944">
        <v>1</v>
      </c>
      <c r="O64" s="944">
        <v>1</v>
      </c>
      <c r="P64" s="944">
        <v>0</v>
      </c>
      <c r="Q64" s="944">
        <v>0</v>
      </c>
      <c r="R64" s="932" t="s">
        <v>1927</v>
      </c>
      <c r="S64" s="932" t="s">
        <v>1927</v>
      </c>
      <c r="T64" s="932" t="s">
        <v>1927</v>
      </c>
      <c r="U64" s="932" t="s">
        <v>2112</v>
      </c>
      <c r="V64" s="932" t="s">
        <v>1927</v>
      </c>
      <c r="W64" s="932" t="s">
        <v>1927</v>
      </c>
      <c r="X64" s="932" t="s">
        <v>1927</v>
      </c>
      <c r="Y64" s="932" t="s">
        <v>1927</v>
      </c>
      <c r="Z64" s="932" t="s">
        <v>2113</v>
      </c>
    </row>
    <row r="65" spans="1:26">
      <c r="A65" s="943" t="s">
        <v>1883</v>
      </c>
      <c r="B65" s="943" t="s">
        <v>2114</v>
      </c>
      <c r="C65" s="944">
        <v>1</v>
      </c>
      <c r="D65" s="944">
        <v>1</v>
      </c>
      <c r="E65" s="944">
        <v>1</v>
      </c>
      <c r="F65" s="944">
        <v>1</v>
      </c>
      <c r="G65" s="944">
        <v>1</v>
      </c>
      <c r="H65" s="944">
        <v>1</v>
      </c>
      <c r="I65" s="944">
        <v>1</v>
      </c>
      <c r="J65" s="944">
        <v>1</v>
      </c>
      <c r="K65" s="944">
        <v>1</v>
      </c>
      <c r="L65" s="944">
        <v>1</v>
      </c>
      <c r="M65" s="944">
        <v>1</v>
      </c>
      <c r="N65" s="944">
        <v>1</v>
      </c>
      <c r="O65" s="944">
        <v>1</v>
      </c>
      <c r="P65" s="944">
        <v>0</v>
      </c>
      <c r="Q65" s="944">
        <v>0</v>
      </c>
      <c r="R65" s="932" t="s">
        <v>1927</v>
      </c>
      <c r="S65" s="932" t="s">
        <v>1927</v>
      </c>
      <c r="T65" s="932" t="s">
        <v>2115</v>
      </c>
      <c r="U65" s="932" t="s">
        <v>2116</v>
      </c>
      <c r="V65" s="932" t="s">
        <v>1927</v>
      </c>
      <c r="W65" s="932" t="s">
        <v>1927</v>
      </c>
      <c r="X65" s="932" t="s">
        <v>1927</v>
      </c>
      <c r="Y65" s="932" t="s">
        <v>1927</v>
      </c>
      <c r="Z65" s="932" t="s">
        <v>2117</v>
      </c>
    </row>
    <row r="66" spans="1:26">
      <c r="A66" s="943" t="s">
        <v>1884</v>
      </c>
      <c r="B66" s="943" t="s">
        <v>2118</v>
      </c>
      <c r="C66" s="944">
        <v>84</v>
      </c>
      <c r="D66" s="944">
        <v>84</v>
      </c>
      <c r="E66" s="944">
        <v>84</v>
      </c>
      <c r="F66" s="944">
        <v>84</v>
      </c>
      <c r="G66" s="944">
        <v>84</v>
      </c>
      <c r="H66" s="944">
        <v>84</v>
      </c>
      <c r="I66" s="944">
        <v>84</v>
      </c>
      <c r="J66" s="944">
        <v>84</v>
      </c>
      <c r="K66" s="944">
        <v>84</v>
      </c>
      <c r="L66" s="944">
        <v>84</v>
      </c>
      <c r="M66" s="944">
        <v>84</v>
      </c>
      <c r="N66" s="944">
        <v>84</v>
      </c>
      <c r="O66" s="944">
        <v>84</v>
      </c>
      <c r="P66" s="944">
        <v>0</v>
      </c>
      <c r="Q66" s="944">
        <v>0</v>
      </c>
      <c r="R66" s="932" t="s">
        <v>1927</v>
      </c>
      <c r="S66" s="932" t="s">
        <v>1927</v>
      </c>
      <c r="T66" s="932" t="s">
        <v>1927</v>
      </c>
      <c r="U66" s="932" t="s">
        <v>2119</v>
      </c>
      <c r="V66" s="932" t="s">
        <v>1927</v>
      </c>
      <c r="W66" s="932" t="s">
        <v>1927</v>
      </c>
      <c r="X66" s="932" t="s">
        <v>1927</v>
      </c>
      <c r="Y66" s="932" t="s">
        <v>1927</v>
      </c>
      <c r="Z66" s="932" t="s">
        <v>2120</v>
      </c>
    </row>
    <row r="67" spans="1:26">
      <c r="A67" s="943" t="s">
        <v>1885</v>
      </c>
      <c r="B67" s="943" t="s">
        <v>2121</v>
      </c>
      <c r="C67" s="944">
        <v>2</v>
      </c>
      <c r="D67" s="944">
        <v>2</v>
      </c>
      <c r="E67" s="944">
        <v>2</v>
      </c>
      <c r="F67" s="944">
        <v>2</v>
      </c>
      <c r="G67" s="944">
        <v>2</v>
      </c>
      <c r="H67" s="944">
        <v>2</v>
      </c>
      <c r="I67" s="944">
        <v>2</v>
      </c>
      <c r="J67" s="944">
        <v>2</v>
      </c>
      <c r="K67" s="944">
        <v>2</v>
      </c>
      <c r="L67" s="944">
        <v>2</v>
      </c>
      <c r="M67" s="944">
        <v>2</v>
      </c>
      <c r="N67" s="944">
        <v>2</v>
      </c>
      <c r="O67" s="944">
        <v>2</v>
      </c>
      <c r="P67" s="944">
        <v>0</v>
      </c>
      <c r="Q67" s="944">
        <v>0</v>
      </c>
      <c r="R67" s="932" t="s">
        <v>1927</v>
      </c>
      <c r="S67" s="932" t="s">
        <v>1927</v>
      </c>
      <c r="T67" s="932" t="s">
        <v>2122</v>
      </c>
      <c r="U67" s="932" t="s">
        <v>2123</v>
      </c>
      <c r="V67" s="932" t="s">
        <v>1927</v>
      </c>
      <c r="W67" s="932" t="s">
        <v>1927</v>
      </c>
      <c r="X67" s="932" t="s">
        <v>1927</v>
      </c>
      <c r="Y67" s="932" t="s">
        <v>1927</v>
      </c>
      <c r="Z67" s="932" t="s">
        <v>2124</v>
      </c>
    </row>
    <row r="68" spans="1:26">
      <c r="A68" s="943" t="s">
        <v>1886</v>
      </c>
      <c r="B68" s="943" t="s">
        <v>2125</v>
      </c>
      <c r="C68" s="944">
        <v>70</v>
      </c>
      <c r="D68" s="944">
        <v>70</v>
      </c>
      <c r="E68" s="944">
        <v>70</v>
      </c>
      <c r="F68" s="944">
        <v>70</v>
      </c>
      <c r="G68" s="944">
        <v>70</v>
      </c>
      <c r="H68" s="944">
        <v>70</v>
      </c>
      <c r="I68" s="944">
        <v>70</v>
      </c>
      <c r="J68" s="944">
        <v>70</v>
      </c>
      <c r="K68" s="944">
        <v>70</v>
      </c>
      <c r="L68" s="944">
        <v>70</v>
      </c>
      <c r="M68" s="944">
        <v>70</v>
      </c>
      <c r="N68" s="944">
        <v>70</v>
      </c>
      <c r="O68" s="944">
        <v>70</v>
      </c>
      <c r="P68" s="944">
        <v>0</v>
      </c>
      <c r="Q68" s="944">
        <v>0</v>
      </c>
      <c r="R68" s="932" t="s">
        <v>1927</v>
      </c>
      <c r="S68" s="932" t="s">
        <v>1927</v>
      </c>
      <c r="T68" s="932" t="s">
        <v>2126</v>
      </c>
      <c r="U68" s="932" t="s">
        <v>2127</v>
      </c>
      <c r="V68" s="932" t="s">
        <v>1927</v>
      </c>
      <c r="W68" s="932" t="s">
        <v>1927</v>
      </c>
      <c r="X68" s="932" t="s">
        <v>1927</v>
      </c>
      <c r="Y68" s="932" t="s">
        <v>1927</v>
      </c>
      <c r="Z68" s="932" t="s">
        <v>2128</v>
      </c>
    </row>
    <row r="69" spans="1:26">
      <c r="A69" s="943" t="s">
        <v>1887</v>
      </c>
      <c r="B69" s="943" t="s">
        <v>2129</v>
      </c>
      <c r="C69" s="944">
        <v>12</v>
      </c>
      <c r="D69" s="944">
        <v>12</v>
      </c>
      <c r="E69" s="944">
        <v>12</v>
      </c>
      <c r="F69" s="944">
        <v>12</v>
      </c>
      <c r="G69" s="944">
        <v>12</v>
      </c>
      <c r="H69" s="944">
        <v>12</v>
      </c>
      <c r="I69" s="944">
        <v>12</v>
      </c>
      <c r="J69" s="944">
        <v>12</v>
      </c>
      <c r="K69" s="944">
        <v>12</v>
      </c>
      <c r="L69" s="944">
        <v>12</v>
      </c>
      <c r="M69" s="944">
        <v>12</v>
      </c>
      <c r="N69" s="944">
        <v>12</v>
      </c>
      <c r="O69" s="944">
        <v>12</v>
      </c>
      <c r="P69" s="944">
        <v>0</v>
      </c>
      <c r="Q69" s="944">
        <v>0</v>
      </c>
      <c r="R69" s="932" t="s">
        <v>1927</v>
      </c>
      <c r="S69" s="932" t="s">
        <v>1927</v>
      </c>
      <c r="T69" s="932" t="s">
        <v>2130</v>
      </c>
      <c r="U69" s="932" t="s">
        <v>2131</v>
      </c>
      <c r="V69" s="932" t="s">
        <v>1927</v>
      </c>
      <c r="W69" s="932" t="s">
        <v>1927</v>
      </c>
      <c r="X69" s="932" t="s">
        <v>1927</v>
      </c>
      <c r="Y69" s="932" t="s">
        <v>1927</v>
      </c>
      <c r="Z69" s="932" t="s">
        <v>2132</v>
      </c>
    </row>
    <row r="70" spans="1:26">
      <c r="A70" s="943" t="s">
        <v>1888</v>
      </c>
      <c r="B70" s="943" t="s">
        <v>2133</v>
      </c>
      <c r="C70" s="944">
        <v>84</v>
      </c>
      <c r="D70" s="944">
        <v>84</v>
      </c>
      <c r="E70" s="944">
        <v>84</v>
      </c>
      <c r="F70" s="944">
        <v>84</v>
      </c>
      <c r="G70" s="944">
        <v>84</v>
      </c>
      <c r="H70" s="944">
        <v>84</v>
      </c>
      <c r="I70" s="944">
        <v>84</v>
      </c>
      <c r="J70" s="944">
        <v>84</v>
      </c>
      <c r="K70" s="944">
        <v>84</v>
      </c>
      <c r="L70" s="944">
        <v>84</v>
      </c>
      <c r="M70" s="944">
        <v>84</v>
      </c>
      <c r="N70" s="944">
        <v>84</v>
      </c>
      <c r="O70" s="944">
        <v>84</v>
      </c>
      <c r="P70" s="944">
        <v>0</v>
      </c>
      <c r="Q70" s="944">
        <v>0</v>
      </c>
      <c r="R70" s="932" t="s">
        <v>1927</v>
      </c>
      <c r="S70" s="932" t="s">
        <v>1927</v>
      </c>
      <c r="T70" s="932" t="s">
        <v>1927</v>
      </c>
      <c r="U70" s="932" t="s">
        <v>2134</v>
      </c>
      <c r="V70" s="932" t="s">
        <v>1927</v>
      </c>
      <c r="W70" s="932" t="s">
        <v>1927</v>
      </c>
      <c r="X70" s="932" t="s">
        <v>1927</v>
      </c>
      <c r="Y70" s="932" t="s">
        <v>1927</v>
      </c>
      <c r="Z70" s="932" t="s">
        <v>2135</v>
      </c>
    </row>
    <row r="71" spans="1:26">
      <c r="A71" s="943" t="s">
        <v>1889</v>
      </c>
      <c r="B71" s="943" t="s">
        <v>2136</v>
      </c>
      <c r="C71" s="944">
        <v>7</v>
      </c>
      <c r="D71" s="944">
        <v>7</v>
      </c>
      <c r="E71" s="944">
        <v>7</v>
      </c>
      <c r="F71" s="944">
        <v>7</v>
      </c>
      <c r="G71" s="944">
        <v>7</v>
      </c>
      <c r="H71" s="944">
        <v>7</v>
      </c>
      <c r="I71" s="944">
        <v>7</v>
      </c>
      <c r="J71" s="944">
        <v>7</v>
      </c>
      <c r="K71" s="944">
        <v>7</v>
      </c>
      <c r="L71" s="944">
        <v>7</v>
      </c>
      <c r="M71" s="944">
        <v>7</v>
      </c>
      <c r="N71" s="944">
        <v>7</v>
      </c>
      <c r="O71" s="944">
        <v>7</v>
      </c>
      <c r="P71" s="944">
        <v>0</v>
      </c>
      <c r="Q71" s="944">
        <v>0</v>
      </c>
      <c r="R71" s="932" t="s">
        <v>1927</v>
      </c>
      <c r="S71" s="932" t="s">
        <v>1927</v>
      </c>
      <c r="T71" s="932" t="s">
        <v>2137</v>
      </c>
      <c r="U71" s="932" t="s">
        <v>2138</v>
      </c>
      <c r="V71" s="932" t="s">
        <v>1927</v>
      </c>
      <c r="W71" s="932" t="s">
        <v>1927</v>
      </c>
      <c r="X71" s="932" t="s">
        <v>1927</v>
      </c>
      <c r="Y71" s="932" t="s">
        <v>1927</v>
      </c>
      <c r="Z71" s="932" t="s">
        <v>2139</v>
      </c>
    </row>
    <row r="72" spans="1:26">
      <c r="A72" s="943" t="s">
        <v>1890</v>
      </c>
      <c r="B72" s="943" t="s">
        <v>2140</v>
      </c>
      <c r="C72" s="944">
        <v>1</v>
      </c>
      <c r="D72" s="944">
        <v>1</v>
      </c>
      <c r="E72" s="944">
        <v>1</v>
      </c>
      <c r="F72" s="944">
        <v>1</v>
      </c>
      <c r="G72" s="944">
        <v>1</v>
      </c>
      <c r="H72" s="944">
        <v>1</v>
      </c>
      <c r="I72" s="944">
        <v>1</v>
      </c>
      <c r="J72" s="944">
        <v>1</v>
      </c>
      <c r="K72" s="944">
        <v>1</v>
      </c>
      <c r="L72" s="944">
        <v>1</v>
      </c>
      <c r="M72" s="944">
        <v>1</v>
      </c>
      <c r="N72" s="944">
        <v>1</v>
      </c>
      <c r="O72" s="944">
        <v>1</v>
      </c>
      <c r="P72" s="944">
        <v>0</v>
      </c>
      <c r="Q72" s="944">
        <v>0</v>
      </c>
      <c r="R72" s="932" t="s">
        <v>1927</v>
      </c>
      <c r="S72" s="932" t="s">
        <v>1927</v>
      </c>
      <c r="T72" s="932" t="s">
        <v>2141</v>
      </c>
      <c r="U72" s="932" t="s">
        <v>2142</v>
      </c>
      <c r="V72" s="932" t="s">
        <v>1927</v>
      </c>
      <c r="W72" s="932" t="s">
        <v>1927</v>
      </c>
      <c r="X72" s="932" t="s">
        <v>1927</v>
      </c>
      <c r="Y72" s="932" t="s">
        <v>1927</v>
      </c>
      <c r="Z72" s="932" t="s">
        <v>2143</v>
      </c>
    </row>
    <row r="73" spans="1:26">
      <c r="A73" s="943" t="s">
        <v>1891</v>
      </c>
      <c r="B73" s="943" t="s">
        <v>2144</v>
      </c>
      <c r="C73" s="944">
        <v>76</v>
      </c>
      <c r="D73" s="944">
        <v>76</v>
      </c>
      <c r="E73" s="944">
        <v>76</v>
      </c>
      <c r="F73" s="944">
        <v>76</v>
      </c>
      <c r="G73" s="944">
        <v>76</v>
      </c>
      <c r="H73" s="944">
        <v>76</v>
      </c>
      <c r="I73" s="944">
        <v>76</v>
      </c>
      <c r="J73" s="944">
        <v>76</v>
      </c>
      <c r="K73" s="944">
        <v>76</v>
      </c>
      <c r="L73" s="944">
        <v>76</v>
      </c>
      <c r="M73" s="944">
        <v>76</v>
      </c>
      <c r="N73" s="944">
        <v>76</v>
      </c>
      <c r="O73" s="944">
        <v>76</v>
      </c>
      <c r="P73" s="944">
        <v>0</v>
      </c>
      <c r="Q73" s="944">
        <v>0</v>
      </c>
      <c r="R73" s="932" t="s">
        <v>1927</v>
      </c>
      <c r="S73" s="932" t="s">
        <v>1927</v>
      </c>
      <c r="T73" s="932" t="s">
        <v>2145</v>
      </c>
      <c r="U73" s="932" t="s">
        <v>2146</v>
      </c>
      <c r="V73" s="932" t="s">
        <v>1927</v>
      </c>
      <c r="W73" s="932" t="s">
        <v>1927</v>
      </c>
      <c r="X73" s="932" t="s">
        <v>1927</v>
      </c>
      <c r="Y73" s="932" t="s">
        <v>1927</v>
      </c>
      <c r="Z73" s="932" t="s">
        <v>2147</v>
      </c>
    </row>
    <row r="74" spans="1:26">
      <c r="A74" s="943" t="s">
        <v>2148</v>
      </c>
      <c r="B74" s="943" t="s">
        <v>2149</v>
      </c>
      <c r="C74" s="944">
        <v>4500885.8</v>
      </c>
      <c r="D74" s="944">
        <v>361103.6</v>
      </c>
      <c r="E74" s="944">
        <v>464665.4</v>
      </c>
      <c r="F74" s="944">
        <v>375417.1</v>
      </c>
      <c r="G74" s="944">
        <v>321819.3</v>
      </c>
      <c r="H74" s="944">
        <v>365470.5</v>
      </c>
      <c r="I74" s="944">
        <v>391923.4</v>
      </c>
      <c r="J74" s="944">
        <v>362400.9</v>
      </c>
      <c r="K74" s="944">
        <v>349795.2</v>
      </c>
      <c r="L74" s="944">
        <v>362301.2</v>
      </c>
      <c r="M74" s="944">
        <v>370293.9</v>
      </c>
      <c r="N74" s="944">
        <v>358751.4</v>
      </c>
      <c r="O74" s="944">
        <v>416943.9</v>
      </c>
      <c r="P74" s="944">
        <v>0</v>
      </c>
      <c r="Q74" s="944">
        <v>0</v>
      </c>
      <c r="R74" s="932" t="s">
        <v>2150</v>
      </c>
      <c r="S74" s="932" t="s">
        <v>1927</v>
      </c>
      <c r="T74" s="932" t="s">
        <v>1927</v>
      </c>
      <c r="U74" s="932" t="s">
        <v>1927</v>
      </c>
      <c r="V74" s="932" t="s">
        <v>1927</v>
      </c>
      <c r="W74" s="932" t="s">
        <v>1927</v>
      </c>
      <c r="X74" s="932" t="s">
        <v>2151</v>
      </c>
      <c r="Y74" s="932" t="s">
        <v>1927</v>
      </c>
      <c r="Z74" s="932" t="s">
        <v>1927</v>
      </c>
    </row>
    <row r="75" spans="1:26">
      <c r="A75" s="943" t="s">
        <v>2152</v>
      </c>
      <c r="B75" s="943" t="s">
        <v>2153</v>
      </c>
      <c r="C75" s="944">
        <v>4500885.8</v>
      </c>
      <c r="D75" s="944">
        <v>361103.6</v>
      </c>
      <c r="E75" s="944">
        <v>464665.4</v>
      </c>
      <c r="F75" s="944">
        <v>375417.1</v>
      </c>
      <c r="G75" s="944">
        <v>321819.3</v>
      </c>
      <c r="H75" s="944">
        <v>365470.5</v>
      </c>
      <c r="I75" s="944">
        <v>391923.4</v>
      </c>
      <c r="J75" s="944">
        <v>362400.9</v>
      </c>
      <c r="K75" s="944">
        <v>349795.2</v>
      </c>
      <c r="L75" s="944">
        <v>362301.2</v>
      </c>
      <c r="M75" s="944">
        <v>370293.9</v>
      </c>
      <c r="N75" s="944">
        <v>358751.4</v>
      </c>
      <c r="O75" s="944">
        <v>416943.9</v>
      </c>
      <c r="P75" s="944">
        <v>0</v>
      </c>
      <c r="Q75" s="944">
        <v>0</v>
      </c>
      <c r="R75" s="932" t="s">
        <v>2150</v>
      </c>
      <c r="S75" s="932" t="s">
        <v>1927</v>
      </c>
      <c r="T75" s="932" t="s">
        <v>1927</v>
      </c>
      <c r="U75" s="932" t="s">
        <v>1929</v>
      </c>
      <c r="V75" s="932" t="s">
        <v>1927</v>
      </c>
      <c r="W75" s="932" t="s">
        <v>1927</v>
      </c>
      <c r="X75" s="932" t="s">
        <v>2151</v>
      </c>
      <c r="Y75" s="932" t="s">
        <v>1927</v>
      </c>
      <c r="Z75" s="932" t="s">
        <v>1930</v>
      </c>
    </row>
    <row r="76" spans="1:26">
      <c r="A76" s="943" t="s">
        <v>2154</v>
      </c>
      <c r="B76" s="943" t="s">
        <v>2155</v>
      </c>
      <c r="C76" s="944">
        <v>4500885.8</v>
      </c>
      <c r="D76" s="944">
        <v>361103.6</v>
      </c>
      <c r="E76" s="944">
        <v>464665.4</v>
      </c>
      <c r="F76" s="944">
        <v>375417.1</v>
      </c>
      <c r="G76" s="944">
        <v>321819.3</v>
      </c>
      <c r="H76" s="944">
        <v>365470.5</v>
      </c>
      <c r="I76" s="944">
        <v>391923.4</v>
      </c>
      <c r="J76" s="944">
        <v>362400.9</v>
      </c>
      <c r="K76" s="944">
        <v>349795.2</v>
      </c>
      <c r="L76" s="944">
        <v>362301.2</v>
      </c>
      <c r="M76" s="944">
        <v>370293.9</v>
      </c>
      <c r="N76" s="944">
        <v>358751.4</v>
      </c>
      <c r="O76" s="944">
        <v>416943.9</v>
      </c>
      <c r="P76" s="944">
        <v>0</v>
      </c>
      <c r="Q76" s="944">
        <v>0</v>
      </c>
      <c r="R76" s="932" t="s">
        <v>2150</v>
      </c>
      <c r="S76" s="932" t="s">
        <v>1927</v>
      </c>
      <c r="T76" s="932" t="s">
        <v>1927</v>
      </c>
      <c r="U76" s="932" t="s">
        <v>1932</v>
      </c>
      <c r="V76" s="932" t="s">
        <v>1927</v>
      </c>
      <c r="W76" s="932" t="s">
        <v>1927</v>
      </c>
      <c r="X76" s="932" t="s">
        <v>2151</v>
      </c>
      <c r="Y76" s="932" t="s">
        <v>1927</v>
      </c>
      <c r="Z76" s="932" t="s">
        <v>1933</v>
      </c>
    </row>
    <row r="77" spans="1:26">
      <c r="A77" s="943" t="s">
        <v>2156</v>
      </c>
      <c r="B77" s="943" t="s">
        <v>2157</v>
      </c>
      <c r="C77" s="944">
        <v>4469185.8</v>
      </c>
      <c r="D77" s="944">
        <v>361103.6</v>
      </c>
      <c r="E77" s="944">
        <v>464665.4</v>
      </c>
      <c r="F77" s="944">
        <v>375417.1</v>
      </c>
      <c r="G77" s="944">
        <v>321819.3</v>
      </c>
      <c r="H77" s="944">
        <v>357470.5</v>
      </c>
      <c r="I77" s="944">
        <v>391923.4</v>
      </c>
      <c r="J77" s="944">
        <v>362400.9</v>
      </c>
      <c r="K77" s="944">
        <v>349795.2</v>
      </c>
      <c r="L77" s="944">
        <v>362301.2</v>
      </c>
      <c r="M77" s="944">
        <v>370293.9</v>
      </c>
      <c r="N77" s="944">
        <v>358751.4</v>
      </c>
      <c r="O77" s="944">
        <v>393243.9</v>
      </c>
      <c r="P77" s="944">
        <v>0</v>
      </c>
      <c r="Q77" s="944">
        <v>0</v>
      </c>
      <c r="R77" s="932" t="s">
        <v>2150</v>
      </c>
      <c r="S77" s="932" t="s">
        <v>1927</v>
      </c>
      <c r="T77" s="932" t="s">
        <v>1927</v>
      </c>
      <c r="U77" s="932" t="s">
        <v>1935</v>
      </c>
      <c r="V77" s="932" t="s">
        <v>1927</v>
      </c>
      <c r="W77" s="932" t="s">
        <v>1927</v>
      </c>
      <c r="X77" s="932" t="s">
        <v>2151</v>
      </c>
      <c r="Y77" s="932" t="s">
        <v>1927</v>
      </c>
      <c r="Z77" s="932" t="s">
        <v>1936</v>
      </c>
    </row>
    <row r="78" spans="1:26">
      <c r="A78" s="943" t="s">
        <v>2158</v>
      </c>
      <c r="B78" s="943" t="s">
        <v>2159</v>
      </c>
      <c r="C78" s="944">
        <v>822062.2</v>
      </c>
      <c r="D78" s="944">
        <v>62988.6</v>
      </c>
      <c r="E78" s="944">
        <v>64388.6</v>
      </c>
      <c r="F78" s="944">
        <v>64388.6</v>
      </c>
      <c r="G78" s="944">
        <v>64388.6</v>
      </c>
      <c r="H78" s="944">
        <v>64388.6</v>
      </c>
      <c r="I78" s="944">
        <v>76388.600000000006</v>
      </c>
      <c r="J78" s="944">
        <v>68388.600000000006</v>
      </c>
      <c r="K78" s="944">
        <v>68388.600000000006</v>
      </c>
      <c r="L78" s="944">
        <v>64388.6</v>
      </c>
      <c r="M78" s="944">
        <v>64388.6</v>
      </c>
      <c r="N78" s="944">
        <v>64388.6</v>
      </c>
      <c r="O78" s="944">
        <v>95187.6</v>
      </c>
      <c r="P78" s="944">
        <v>0</v>
      </c>
      <c r="Q78" s="944">
        <v>0</v>
      </c>
      <c r="R78" s="932" t="s">
        <v>2150</v>
      </c>
      <c r="S78" s="932" t="s">
        <v>1927</v>
      </c>
      <c r="T78" s="932" t="s">
        <v>1927</v>
      </c>
      <c r="U78" s="932" t="s">
        <v>1938</v>
      </c>
      <c r="V78" s="932" t="s">
        <v>1927</v>
      </c>
      <c r="W78" s="932" t="s">
        <v>1927</v>
      </c>
      <c r="X78" s="932" t="s">
        <v>2151</v>
      </c>
      <c r="Y78" s="932" t="s">
        <v>1927</v>
      </c>
      <c r="Z78" s="932" t="s">
        <v>1939</v>
      </c>
    </row>
    <row r="79" spans="1:26">
      <c r="A79" s="943" t="s">
        <v>2160</v>
      </c>
      <c r="B79" s="943" t="s">
        <v>2161</v>
      </c>
      <c r="C79" s="944">
        <v>638064.19999999995</v>
      </c>
      <c r="D79" s="944">
        <v>47655.4</v>
      </c>
      <c r="E79" s="944">
        <v>49055.4</v>
      </c>
      <c r="F79" s="944">
        <v>49055.4</v>
      </c>
      <c r="G79" s="944">
        <v>49055.4</v>
      </c>
      <c r="H79" s="944">
        <v>49055.4</v>
      </c>
      <c r="I79" s="944">
        <v>61055.4</v>
      </c>
      <c r="J79" s="944">
        <v>53055.4</v>
      </c>
      <c r="K79" s="944">
        <v>53055.4</v>
      </c>
      <c r="L79" s="944">
        <v>49055.4</v>
      </c>
      <c r="M79" s="944">
        <v>49055.4</v>
      </c>
      <c r="N79" s="944">
        <v>49055.4</v>
      </c>
      <c r="O79" s="944">
        <v>79854.8</v>
      </c>
      <c r="P79" s="944">
        <v>0</v>
      </c>
      <c r="Q79" s="944">
        <v>0</v>
      </c>
      <c r="R79" s="932" t="s">
        <v>2150</v>
      </c>
      <c r="S79" s="932" t="s">
        <v>1927</v>
      </c>
      <c r="T79" s="932" t="s">
        <v>1941</v>
      </c>
      <c r="U79" s="932" t="s">
        <v>1942</v>
      </c>
      <c r="V79" s="932" t="s">
        <v>1927</v>
      </c>
      <c r="W79" s="932" t="s">
        <v>1927</v>
      </c>
      <c r="X79" s="932" t="s">
        <v>2151</v>
      </c>
      <c r="Y79" s="932" t="s">
        <v>1927</v>
      </c>
      <c r="Z79" s="932" t="s">
        <v>1943</v>
      </c>
    </row>
    <row r="80" spans="1:26">
      <c r="A80" s="943" t="s">
        <v>2162</v>
      </c>
      <c r="B80" s="943" t="s">
        <v>2163</v>
      </c>
      <c r="C80" s="944">
        <v>83189.399999999994</v>
      </c>
      <c r="D80" s="944">
        <v>6932.5</v>
      </c>
      <c r="E80" s="944">
        <v>6932.5</v>
      </c>
      <c r="F80" s="944">
        <v>6932.5</v>
      </c>
      <c r="G80" s="944">
        <v>6932.5</v>
      </c>
      <c r="H80" s="944">
        <v>6932.5</v>
      </c>
      <c r="I80" s="944">
        <v>6932.5</v>
      </c>
      <c r="J80" s="944">
        <v>6932.5</v>
      </c>
      <c r="K80" s="944">
        <v>6932.5</v>
      </c>
      <c r="L80" s="944">
        <v>6932.5</v>
      </c>
      <c r="M80" s="944">
        <v>6932.5</v>
      </c>
      <c r="N80" s="944">
        <v>6932.5</v>
      </c>
      <c r="O80" s="944">
        <v>6931.9</v>
      </c>
      <c r="P80" s="944">
        <v>0</v>
      </c>
      <c r="Q80" s="944">
        <v>0</v>
      </c>
      <c r="R80" s="932" t="s">
        <v>2150</v>
      </c>
      <c r="S80" s="932" t="s">
        <v>1927</v>
      </c>
      <c r="T80" s="932" t="s">
        <v>1945</v>
      </c>
      <c r="U80" s="932" t="s">
        <v>1946</v>
      </c>
      <c r="V80" s="932" t="s">
        <v>1927</v>
      </c>
      <c r="W80" s="932" t="s">
        <v>1927</v>
      </c>
      <c r="X80" s="932" t="s">
        <v>2151</v>
      </c>
      <c r="Y80" s="932" t="s">
        <v>1927</v>
      </c>
      <c r="Z80" s="932" t="s">
        <v>942</v>
      </c>
    </row>
    <row r="81" spans="1:26">
      <c r="A81" s="943" t="s">
        <v>2164</v>
      </c>
      <c r="B81" s="943" t="s">
        <v>2165</v>
      </c>
      <c r="C81" s="944">
        <v>100808.6</v>
      </c>
      <c r="D81" s="944">
        <v>8400.7000000000007</v>
      </c>
      <c r="E81" s="944">
        <v>8400.7000000000007</v>
      </c>
      <c r="F81" s="944">
        <v>8400.7000000000007</v>
      </c>
      <c r="G81" s="944">
        <v>8400.7000000000007</v>
      </c>
      <c r="H81" s="944">
        <v>8400.7000000000007</v>
      </c>
      <c r="I81" s="944">
        <v>8400.7000000000007</v>
      </c>
      <c r="J81" s="944">
        <v>8400.7000000000007</v>
      </c>
      <c r="K81" s="944">
        <v>8400.7000000000007</v>
      </c>
      <c r="L81" s="944">
        <v>8400.7000000000007</v>
      </c>
      <c r="M81" s="944">
        <v>8400.7000000000007</v>
      </c>
      <c r="N81" s="944">
        <v>8400.7000000000007</v>
      </c>
      <c r="O81" s="944">
        <v>8400.9</v>
      </c>
      <c r="P81" s="944">
        <v>0</v>
      </c>
      <c r="Q81" s="944">
        <v>0</v>
      </c>
      <c r="R81" s="932" t="s">
        <v>2150</v>
      </c>
      <c r="S81" s="932" t="s">
        <v>1927</v>
      </c>
      <c r="T81" s="932" t="s">
        <v>1948</v>
      </c>
      <c r="U81" s="932" t="s">
        <v>1949</v>
      </c>
      <c r="V81" s="932" t="s">
        <v>1927</v>
      </c>
      <c r="W81" s="932" t="s">
        <v>1927</v>
      </c>
      <c r="X81" s="932" t="s">
        <v>2151</v>
      </c>
      <c r="Y81" s="932" t="s">
        <v>1927</v>
      </c>
      <c r="Z81" s="932" t="s">
        <v>1950</v>
      </c>
    </row>
    <row r="82" spans="1:26">
      <c r="A82" s="943" t="s">
        <v>2166</v>
      </c>
      <c r="B82" s="943" t="s">
        <v>2167</v>
      </c>
      <c r="C82" s="944">
        <v>98647.4</v>
      </c>
      <c r="D82" s="944">
        <v>7558.7</v>
      </c>
      <c r="E82" s="944">
        <v>7726.7</v>
      </c>
      <c r="F82" s="944">
        <v>7726.7</v>
      </c>
      <c r="G82" s="944">
        <v>7726.7</v>
      </c>
      <c r="H82" s="944">
        <v>7726.7</v>
      </c>
      <c r="I82" s="944">
        <v>9166.7000000000007</v>
      </c>
      <c r="J82" s="944">
        <v>8206.7000000000007</v>
      </c>
      <c r="K82" s="944">
        <v>8206.7000000000007</v>
      </c>
      <c r="L82" s="944">
        <v>7726.7</v>
      </c>
      <c r="M82" s="944">
        <v>7726.7</v>
      </c>
      <c r="N82" s="944">
        <v>7726.7</v>
      </c>
      <c r="O82" s="944">
        <v>11421.7</v>
      </c>
      <c r="P82" s="944">
        <v>0</v>
      </c>
      <c r="Q82" s="944">
        <v>0</v>
      </c>
      <c r="R82" s="932" t="s">
        <v>2150</v>
      </c>
      <c r="S82" s="932" t="s">
        <v>1927</v>
      </c>
      <c r="T82" s="932" t="s">
        <v>1927</v>
      </c>
      <c r="U82" s="932" t="s">
        <v>1952</v>
      </c>
      <c r="V82" s="932" t="s">
        <v>1927</v>
      </c>
      <c r="W82" s="932" t="s">
        <v>1927</v>
      </c>
      <c r="X82" s="932" t="s">
        <v>2151</v>
      </c>
      <c r="Y82" s="932" t="s">
        <v>1927</v>
      </c>
      <c r="Z82" s="932" t="s">
        <v>1953</v>
      </c>
    </row>
    <row r="83" spans="1:26">
      <c r="A83" s="943" t="s">
        <v>2168</v>
      </c>
      <c r="B83" s="943" t="s">
        <v>2169</v>
      </c>
      <c r="C83" s="944">
        <v>65765</v>
      </c>
      <c r="D83" s="944">
        <v>5039.1000000000004</v>
      </c>
      <c r="E83" s="944">
        <v>5151.1000000000004</v>
      </c>
      <c r="F83" s="944">
        <v>5151.1000000000004</v>
      </c>
      <c r="G83" s="944">
        <v>5151.1000000000004</v>
      </c>
      <c r="H83" s="944">
        <v>5151.1000000000004</v>
      </c>
      <c r="I83" s="944">
        <v>6111.1</v>
      </c>
      <c r="J83" s="944">
        <v>5471.1</v>
      </c>
      <c r="K83" s="944">
        <v>5471.1</v>
      </c>
      <c r="L83" s="944">
        <v>5151.1000000000004</v>
      </c>
      <c r="M83" s="944">
        <v>5151.1000000000004</v>
      </c>
      <c r="N83" s="944">
        <v>5151.1000000000004</v>
      </c>
      <c r="O83" s="944">
        <v>7614.9</v>
      </c>
      <c r="P83" s="944">
        <v>0</v>
      </c>
      <c r="Q83" s="944">
        <v>0</v>
      </c>
      <c r="R83" s="932" t="s">
        <v>2150</v>
      </c>
      <c r="S83" s="932" t="s">
        <v>1927</v>
      </c>
      <c r="T83" s="932" t="s">
        <v>1955</v>
      </c>
      <c r="U83" s="932" t="s">
        <v>1956</v>
      </c>
      <c r="V83" s="932" t="s">
        <v>1927</v>
      </c>
      <c r="W83" s="932" t="s">
        <v>1927</v>
      </c>
      <c r="X83" s="932" t="s">
        <v>2151</v>
      </c>
      <c r="Y83" s="932" t="s">
        <v>1927</v>
      </c>
      <c r="Z83" s="932" t="s">
        <v>1957</v>
      </c>
    </row>
    <row r="84" spans="1:26">
      <c r="A84" s="943" t="s">
        <v>2170</v>
      </c>
      <c r="B84" s="943" t="s">
        <v>2171</v>
      </c>
      <c r="C84" s="944">
        <v>8220.6</v>
      </c>
      <c r="D84" s="944">
        <v>629.9</v>
      </c>
      <c r="E84" s="944">
        <v>643.9</v>
      </c>
      <c r="F84" s="944">
        <v>643.9</v>
      </c>
      <c r="G84" s="944">
        <v>643.9</v>
      </c>
      <c r="H84" s="944">
        <v>643.9</v>
      </c>
      <c r="I84" s="944">
        <v>763.9</v>
      </c>
      <c r="J84" s="944">
        <v>683.9</v>
      </c>
      <c r="K84" s="944">
        <v>683.9</v>
      </c>
      <c r="L84" s="944">
        <v>643.9</v>
      </c>
      <c r="M84" s="944">
        <v>643.9</v>
      </c>
      <c r="N84" s="944">
        <v>643.9</v>
      </c>
      <c r="O84" s="944">
        <v>951.7</v>
      </c>
      <c r="P84" s="944">
        <v>0</v>
      </c>
      <c r="Q84" s="944">
        <v>0</v>
      </c>
      <c r="R84" s="932" t="s">
        <v>2150</v>
      </c>
      <c r="S84" s="932" t="s">
        <v>1927</v>
      </c>
      <c r="T84" s="932" t="s">
        <v>1959</v>
      </c>
      <c r="U84" s="932" t="s">
        <v>1960</v>
      </c>
      <c r="V84" s="932" t="s">
        <v>1927</v>
      </c>
      <c r="W84" s="932" t="s">
        <v>1927</v>
      </c>
      <c r="X84" s="932" t="s">
        <v>2151</v>
      </c>
      <c r="Y84" s="932" t="s">
        <v>1927</v>
      </c>
      <c r="Z84" s="932" t="s">
        <v>1961</v>
      </c>
    </row>
    <row r="85" spans="1:26">
      <c r="A85" s="943" t="s">
        <v>2172</v>
      </c>
      <c r="B85" s="943" t="s">
        <v>2173</v>
      </c>
      <c r="C85" s="944">
        <v>6576.5</v>
      </c>
      <c r="D85" s="944">
        <v>503.9</v>
      </c>
      <c r="E85" s="944">
        <v>515.1</v>
      </c>
      <c r="F85" s="944">
        <v>515.1</v>
      </c>
      <c r="G85" s="944">
        <v>515.1</v>
      </c>
      <c r="H85" s="944">
        <v>515.1</v>
      </c>
      <c r="I85" s="944">
        <v>611.1</v>
      </c>
      <c r="J85" s="944">
        <v>547.1</v>
      </c>
      <c r="K85" s="944">
        <v>547.1</v>
      </c>
      <c r="L85" s="944">
        <v>515.1</v>
      </c>
      <c r="M85" s="944">
        <v>515.1</v>
      </c>
      <c r="N85" s="944">
        <v>515.1</v>
      </c>
      <c r="O85" s="944">
        <v>761.6</v>
      </c>
      <c r="P85" s="944">
        <v>0</v>
      </c>
      <c r="Q85" s="944">
        <v>0</v>
      </c>
      <c r="R85" s="932" t="s">
        <v>2150</v>
      </c>
      <c r="S85" s="932" t="s">
        <v>1927</v>
      </c>
      <c r="T85" s="932" t="s">
        <v>1963</v>
      </c>
      <c r="U85" s="932" t="s">
        <v>1964</v>
      </c>
      <c r="V85" s="932" t="s">
        <v>1927</v>
      </c>
      <c r="W85" s="932" t="s">
        <v>1927</v>
      </c>
      <c r="X85" s="932" t="s">
        <v>2151</v>
      </c>
      <c r="Y85" s="932" t="s">
        <v>1927</v>
      </c>
      <c r="Z85" s="932" t="s">
        <v>1965</v>
      </c>
    </row>
    <row r="86" spans="1:26">
      <c r="A86" s="943" t="s">
        <v>2174</v>
      </c>
      <c r="B86" s="943" t="s">
        <v>2175</v>
      </c>
      <c r="C86" s="944">
        <v>1644.1</v>
      </c>
      <c r="D86" s="944">
        <v>126</v>
      </c>
      <c r="E86" s="944">
        <v>128.80000000000001</v>
      </c>
      <c r="F86" s="944">
        <v>128.80000000000001</v>
      </c>
      <c r="G86" s="944">
        <v>128.80000000000001</v>
      </c>
      <c r="H86" s="944">
        <v>128.80000000000001</v>
      </c>
      <c r="I86" s="944">
        <v>152.80000000000001</v>
      </c>
      <c r="J86" s="944">
        <v>136.80000000000001</v>
      </c>
      <c r="K86" s="944">
        <v>136.80000000000001</v>
      </c>
      <c r="L86" s="944">
        <v>128.80000000000001</v>
      </c>
      <c r="M86" s="944">
        <v>128.80000000000001</v>
      </c>
      <c r="N86" s="944">
        <v>128.80000000000001</v>
      </c>
      <c r="O86" s="944">
        <v>190.1</v>
      </c>
      <c r="P86" s="944">
        <v>0</v>
      </c>
      <c r="Q86" s="944">
        <v>0</v>
      </c>
      <c r="R86" s="932" t="s">
        <v>2150</v>
      </c>
      <c r="S86" s="932" t="s">
        <v>1927</v>
      </c>
      <c r="T86" s="932" t="s">
        <v>1967</v>
      </c>
      <c r="U86" s="932" t="s">
        <v>1968</v>
      </c>
      <c r="V86" s="932" t="s">
        <v>1927</v>
      </c>
      <c r="W86" s="932" t="s">
        <v>1927</v>
      </c>
      <c r="X86" s="932" t="s">
        <v>2151</v>
      </c>
      <c r="Y86" s="932" t="s">
        <v>1927</v>
      </c>
      <c r="Z86" s="932" t="s">
        <v>1969</v>
      </c>
    </row>
    <row r="87" spans="1:26">
      <c r="A87" s="943" t="s">
        <v>2176</v>
      </c>
      <c r="B87" s="943" t="s">
        <v>2177</v>
      </c>
      <c r="C87" s="944">
        <v>16441.2</v>
      </c>
      <c r="D87" s="944">
        <v>1259.8</v>
      </c>
      <c r="E87" s="944">
        <v>1287.8</v>
      </c>
      <c r="F87" s="944">
        <v>1287.8</v>
      </c>
      <c r="G87" s="944">
        <v>1287.8</v>
      </c>
      <c r="H87" s="944">
        <v>1287.8</v>
      </c>
      <c r="I87" s="944">
        <v>1527.8</v>
      </c>
      <c r="J87" s="944">
        <v>1367.8</v>
      </c>
      <c r="K87" s="944">
        <v>1367.8</v>
      </c>
      <c r="L87" s="944">
        <v>1287.8</v>
      </c>
      <c r="M87" s="944">
        <v>1287.8</v>
      </c>
      <c r="N87" s="944">
        <v>1287.8</v>
      </c>
      <c r="O87" s="944">
        <v>1903.4</v>
      </c>
      <c r="P87" s="944">
        <v>0</v>
      </c>
      <c r="Q87" s="944">
        <v>0</v>
      </c>
      <c r="R87" s="932" t="s">
        <v>2150</v>
      </c>
      <c r="S87" s="932" t="s">
        <v>1927</v>
      </c>
      <c r="T87" s="932" t="s">
        <v>1971</v>
      </c>
      <c r="U87" s="932" t="s">
        <v>1972</v>
      </c>
      <c r="V87" s="932" t="s">
        <v>1927</v>
      </c>
      <c r="W87" s="932" t="s">
        <v>1927</v>
      </c>
      <c r="X87" s="932" t="s">
        <v>2151</v>
      </c>
      <c r="Y87" s="932" t="s">
        <v>1927</v>
      </c>
      <c r="Z87" s="932" t="s">
        <v>1973</v>
      </c>
    </row>
    <row r="88" spans="1:26">
      <c r="A88" s="943" t="s">
        <v>2178</v>
      </c>
      <c r="B88" s="943" t="s">
        <v>2179</v>
      </c>
      <c r="C88" s="944">
        <v>93287.3</v>
      </c>
      <c r="D88" s="944">
        <v>8827</v>
      </c>
      <c r="E88" s="944">
        <v>8826.6</v>
      </c>
      <c r="F88" s="944">
        <v>8826.6</v>
      </c>
      <c r="G88" s="944">
        <v>8826.6</v>
      </c>
      <c r="H88" s="944">
        <v>8826.6</v>
      </c>
      <c r="I88" s="944">
        <v>4616</v>
      </c>
      <c r="J88" s="944">
        <v>6866</v>
      </c>
      <c r="K88" s="944">
        <v>3366</v>
      </c>
      <c r="L88" s="944">
        <v>7826.6</v>
      </c>
      <c r="M88" s="944">
        <v>8826.6</v>
      </c>
      <c r="N88" s="944">
        <v>8826.6</v>
      </c>
      <c r="O88" s="944">
        <v>8826.1</v>
      </c>
      <c r="P88" s="944">
        <v>0</v>
      </c>
      <c r="Q88" s="944">
        <v>0</v>
      </c>
      <c r="R88" s="932" t="s">
        <v>2150</v>
      </c>
      <c r="S88" s="932" t="s">
        <v>1927</v>
      </c>
      <c r="T88" s="932" t="s">
        <v>1927</v>
      </c>
      <c r="U88" s="932" t="s">
        <v>1975</v>
      </c>
      <c r="V88" s="932" t="s">
        <v>1927</v>
      </c>
      <c r="W88" s="932" t="s">
        <v>1927</v>
      </c>
      <c r="X88" s="932" t="s">
        <v>2151</v>
      </c>
      <c r="Y88" s="932" t="s">
        <v>1927</v>
      </c>
      <c r="Z88" s="932" t="s">
        <v>1976</v>
      </c>
    </row>
    <row r="89" spans="1:26">
      <c r="A89" s="943" t="s">
        <v>2180</v>
      </c>
      <c r="B89" s="943" t="s">
        <v>2181</v>
      </c>
      <c r="C89" s="944">
        <v>33591.5</v>
      </c>
      <c r="D89" s="944">
        <v>2799.3</v>
      </c>
      <c r="E89" s="944">
        <v>2799.3</v>
      </c>
      <c r="F89" s="944">
        <v>2799.3</v>
      </c>
      <c r="G89" s="944">
        <v>2799.3</v>
      </c>
      <c r="H89" s="944">
        <v>2799.3</v>
      </c>
      <c r="I89" s="944">
        <v>2799.3</v>
      </c>
      <c r="J89" s="944">
        <v>5049.3</v>
      </c>
      <c r="K89" s="944">
        <v>1549.3</v>
      </c>
      <c r="L89" s="944">
        <v>1799.3</v>
      </c>
      <c r="M89" s="944">
        <v>2799.3</v>
      </c>
      <c r="N89" s="944">
        <v>2799.3</v>
      </c>
      <c r="O89" s="944">
        <v>2799.2</v>
      </c>
      <c r="P89" s="944">
        <v>0</v>
      </c>
      <c r="Q89" s="944">
        <v>0</v>
      </c>
      <c r="R89" s="932" t="s">
        <v>2150</v>
      </c>
      <c r="S89" s="932" t="s">
        <v>1927</v>
      </c>
      <c r="T89" s="932" t="s">
        <v>1978</v>
      </c>
      <c r="U89" s="932" t="s">
        <v>1979</v>
      </c>
      <c r="V89" s="932" t="s">
        <v>1927</v>
      </c>
      <c r="W89" s="932" t="s">
        <v>1927</v>
      </c>
      <c r="X89" s="932" t="s">
        <v>2151</v>
      </c>
      <c r="Y89" s="932" t="s">
        <v>1927</v>
      </c>
      <c r="Z89" s="932" t="s">
        <v>1980</v>
      </c>
    </row>
    <row r="90" spans="1:26">
      <c r="A90" s="943" t="s">
        <v>2182</v>
      </c>
      <c r="B90" s="943" t="s">
        <v>2183</v>
      </c>
      <c r="C90" s="944">
        <v>37895.800000000003</v>
      </c>
      <c r="D90" s="944">
        <v>4211</v>
      </c>
      <c r="E90" s="944">
        <v>4210.6000000000004</v>
      </c>
      <c r="F90" s="944">
        <v>4210.6000000000004</v>
      </c>
      <c r="G90" s="944">
        <v>4210.6000000000004</v>
      </c>
      <c r="H90" s="944">
        <v>4210.6000000000004</v>
      </c>
      <c r="I90" s="944">
        <v>0</v>
      </c>
      <c r="J90" s="944">
        <v>0</v>
      </c>
      <c r="K90" s="944">
        <v>0</v>
      </c>
      <c r="L90" s="944">
        <v>4210.6000000000004</v>
      </c>
      <c r="M90" s="944">
        <v>4210.6000000000004</v>
      </c>
      <c r="N90" s="944">
        <v>4210.6000000000004</v>
      </c>
      <c r="O90" s="944">
        <v>4210.6000000000004</v>
      </c>
      <c r="P90" s="944">
        <v>0</v>
      </c>
      <c r="Q90" s="944">
        <v>0</v>
      </c>
      <c r="R90" s="932" t="s">
        <v>2150</v>
      </c>
      <c r="S90" s="932" t="s">
        <v>1927</v>
      </c>
      <c r="T90" s="932" t="s">
        <v>1982</v>
      </c>
      <c r="U90" s="932" t="s">
        <v>1983</v>
      </c>
      <c r="V90" s="932" t="s">
        <v>1927</v>
      </c>
      <c r="W90" s="932" t="s">
        <v>1927</v>
      </c>
      <c r="X90" s="932" t="s">
        <v>2151</v>
      </c>
      <c r="Y90" s="932" t="s">
        <v>1927</v>
      </c>
      <c r="Z90" s="932" t="s">
        <v>1984</v>
      </c>
    </row>
    <row r="91" spans="1:26">
      <c r="A91" s="943" t="s">
        <v>2184</v>
      </c>
      <c r="B91" s="943" t="s">
        <v>2185</v>
      </c>
      <c r="C91" s="944">
        <v>21800</v>
      </c>
      <c r="D91" s="944">
        <v>1816.7</v>
      </c>
      <c r="E91" s="944">
        <v>1816.7</v>
      </c>
      <c r="F91" s="944">
        <v>1816.7</v>
      </c>
      <c r="G91" s="944">
        <v>1816.7</v>
      </c>
      <c r="H91" s="944">
        <v>1816.7</v>
      </c>
      <c r="I91" s="944">
        <v>1816.7</v>
      </c>
      <c r="J91" s="944">
        <v>1816.7</v>
      </c>
      <c r="K91" s="944">
        <v>1816.7</v>
      </c>
      <c r="L91" s="944">
        <v>1816.7</v>
      </c>
      <c r="M91" s="944">
        <v>1816.7</v>
      </c>
      <c r="N91" s="944">
        <v>1816.7</v>
      </c>
      <c r="O91" s="944">
        <v>1816.3</v>
      </c>
      <c r="P91" s="944">
        <v>0</v>
      </c>
      <c r="Q91" s="944">
        <v>0</v>
      </c>
      <c r="R91" s="932" t="s">
        <v>2150</v>
      </c>
      <c r="S91" s="932" t="s">
        <v>1927</v>
      </c>
      <c r="T91" s="932" t="s">
        <v>1986</v>
      </c>
      <c r="U91" s="932" t="s">
        <v>1987</v>
      </c>
      <c r="V91" s="932" t="s">
        <v>1927</v>
      </c>
      <c r="W91" s="932" t="s">
        <v>1927</v>
      </c>
      <c r="X91" s="932" t="s">
        <v>2151</v>
      </c>
      <c r="Y91" s="932" t="s">
        <v>1927</v>
      </c>
      <c r="Z91" s="932" t="s">
        <v>1988</v>
      </c>
    </row>
    <row r="92" spans="1:26">
      <c r="A92" s="943" t="s">
        <v>2186</v>
      </c>
      <c r="B92" s="943" t="s">
        <v>2187</v>
      </c>
      <c r="C92" s="944">
        <v>75698.8</v>
      </c>
      <c r="D92" s="944">
        <v>4783.3</v>
      </c>
      <c r="E92" s="944">
        <v>11928.5</v>
      </c>
      <c r="F92" s="944">
        <v>4783.3</v>
      </c>
      <c r="G92" s="944">
        <v>7073.7</v>
      </c>
      <c r="H92" s="944">
        <v>3638.1</v>
      </c>
      <c r="I92" s="944">
        <v>15938.1</v>
      </c>
      <c r="J92" s="944">
        <v>7073.7</v>
      </c>
      <c r="K92" s="944">
        <v>3638.1</v>
      </c>
      <c r="L92" s="944">
        <v>3638.1</v>
      </c>
      <c r="M92" s="944">
        <v>5928.3</v>
      </c>
      <c r="N92" s="944">
        <v>3638.1</v>
      </c>
      <c r="O92" s="944">
        <v>3637.5</v>
      </c>
      <c r="P92" s="944">
        <v>0</v>
      </c>
      <c r="Q92" s="944">
        <v>0</v>
      </c>
      <c r="R92" s="932" t="s">
        <v>2150</v>
      </c>
      <c r="S92" s="932" t="s">
        <v>1927</v>
      </c>
      <c r="T92" s="932" t="s">
        <v>1927</v>
      </c>
      <c r="U92" s="932" t="s">
        <v>1990</v>
      </c>
      <c r="V92" s="932" t="s">
        <v>1927</v>
      </c>
      <c r="W92" s="932" t="s">
        <v>1927</v>
      </c>
      <c r="X92" s="932" t="s">
        <v>2151</v>
      </c>
      <c r="Y92" s="932" t="s">
        <v>1927</v>
      </c>
      <c r="Z92" s="932" t="s">
        <v>1991</v>
      </c>
    </row>
    <row r="93" spans="1:26">
      <c r="A93" s="943" t="s">
        <v>2188</v>
      </c>
      <c r="B93" s="943" t="s">
        <v>2189</v>
      </c>
      <c r="C93" s="944">
        <v>15304.9</v>
      </c>
      <c r="D93" s="944">
        <v>900.4</v>
      </c>
      <c r="E93" s="944">
        <v>900.4</v>
      </c>
      <c r="F93" s="944">
        <v>900.4</v>
      </c>
      <c r="G93" s="944">
        <v>900.4</v>
      </c>
      <c r="H93" s="944">
        <v>900.4</v>
      </c>
      <c r="I93" s="944">
        <v>5400.4</v>
      </c>
      <c r="J93" s="944">
        <v>900.4</v>
      </c>
      <c r="K93" s="944">
        <v>900.4</v>
      </c>
      <c r="L93" s="944">
        <v>900.4</v>
      </c>
      <c r="M93" s="944">
        <v>900.4</v>
      </c>
      <c r="N93" s="944">
        <v>900.4</v>
      </c>
      <c r="O93" s="944">
        <v>900.5</v>
      </c>
      <c r="P93" s="944">
        <v>0</v>
      </c>
      <c r="Q93" s="944">
        <v>0</v>
      </c>
      <c r="R93" s="932" t="s">
        <v>2150</v>
      </c>
      <c r="S93" s="932" t="s">
        <v>1927</v>
      </c>
      <c r="T93" s="932" t="s">
        <v>1993</v>
      </c>
      <c r="U93" s="932" t="s">
        <v>1994</v>
      </c>
      <c r="V93" s="932" t="s">
        <v>1927</v>
      </c>
      <c r="W93" s="932" t="s">
        <v>1927</v>
      </c>
      <c r="X93" s="932" t="s">
        <v>2151</v>
      </c>
      <c r="Y93" s="932" t="s">
        <v>1927</v>
      </c>
      <c r="Z93" s="932" t="s">
        <v>946</v>
      </c>
    </row>
    <row r="94" spans="1:26">
      <c r="A94" s="943" t="s">
        <v>2190</v>
      </c>
      <c r="B94" s="943" t="s">
        <v>2191</v>
      </c>
      <c r="C94" s="944">
        <v>15840</v>
      </c>
      <c r="D94" s="944">
        <v>1320</v>
      </c>
      <c r="E94" s="944">
        <v>1320</v>
      </c>
      <c r="F94" s="944">
        <v>1320</v>
      </c>
      <c r="G94" s="944">
        <v>1320</v>
      </c>
      <c r="H94" s="944">
        <v>1320</v>
      </c>
      <c r="I94" s="944">
        <v>1320</v>
      </c>
      <c r="J94" s="944">
        <v>1320</v>
      </c>
      <c r="K94" s="944">
        <v>1320</v>
      </c>
      <c r="L94" s="944">
        <v>1320</v>
      </c>
      <c r="M94" s="944">
        <v>1320</v>
      </c>
      <c r="N94" s="944">
        <v>1320</v>
      </c>
      <c r="O94" s="944">
        <v>1320</v>
      </c>
      <c r="P94" s="944">
        <v>0</v>
      </c>
      <c r="Q94" s="944">
        <v>0</v>
      </c>
      <c r="R94" s="932" t="s">
        <v>2150</v>
      </c>
      <c r="S94" s="932" t="s">
        <v>1927</v>
      </c>
      <c r="T94" s="932" t="s">
        <v>1996</v>
      </c>
      <c r="U94" s="932" t="s">
        <v>1997</v>
      </c>
      <c r="V94" s="932" t="s">
        <v>1927</v>
      </c>
      <c r="W94" s="932" t="s">
        <v>1927</v>
      </c>
      <c r="X94" s="932" t="s">
        <v>2151</v>
      </c>
      <c r="Y94" s="932" t="s">
        <v>1927</v>
      </c>
      <c r="Z94" s="932" t="s">
        <v>1998</v>
      </c>
    </row>
    <row r="95" spans="1:26">
      <c r="A95" s="943" t="s">
        <v>2192</v>
      </c>
      <c r="B95" s="943" t="s">
        <v>2193</v>
      </c>
      <c r="C95" s="944">
        <v>12069.2</v>
      </c>
      <c r="D95" s="944">
        <v>355.8</v>
      </c>
      <c r="E95" s="944">
        <v>355.8</v>
      </c>
      <c r="F95" s="944">
        <v>355.8</v>
      </c>
      <c r="G95" s="944">
        <v>355.8</v>
      </c>
      <c r="H95" s="944">
        <v>355.8</v>
      </c>
      <c r="I95" s="944">
        <v>8155.8</v>
      </c>
      <c r="J95" s="944">
        <v>355.8</v>
      </c>
      <c r="K95" s="944">
        <v>355.8</v>
      </c>
      <c r="L95" s="944">
        <v>355.8</v>
      </c>
      <c r="M95" s="944">
        <v>355.8</v>
      </c>
      <c r="N95" s="944">
        <v>355.8</v>
      </c>
      <c r="O95" s="944">
        <v>355.4</v>
      </c>
      <c r="P95" s="944">
        <v>0</v>
      </c>
      <c r="Q95" s="944">
        <v>0</v>
      </c>
      <c r="R95" s="932" t="s">
        <v>2150</v>
      </c>
      <c r="S95" s="932" t="s">
        <v>1927</v>
      </c>
      <c r="T95" s="932" t="s">
        <v>2000</v>
      </c>
      <c r="U95" s="932" t="s">
        <v>2001</v>
      </c>
      <c r="V95" s="932" t="s">
        <v>1927</v>
      </c>
      <c r="W95" s="932" t="s">
        <v>1927</v>
      </c>
      <c r="X95" s="932" t="s">
        <v>2151</v>
      </c>
      <c r="Y95" s="932" t="s">
        <v>1927</v>
      </c>
      <c r="Z95" s="932" t="s">
        <v>2002</v>
      </c>
    </row>
    <row r="96" spans="1:26">
      <c r="A96" s="943" t="s">
        <v>2194</v>
      </c>
      <c r="B96" s="943" t="s">
        <v>2195</v>
      </c>
      <c r="C96" s="944">
        <v>12742.5</v>
      </c>
      <c r="D96" s="944">
        <v>1061.9000000000001</v>
      </c>
      <c r="E96" s="944">
        <v>1061.9000000000001</v>
      </c>
      <c r="F96" s="944">
        <v>1061.9000000000001</v>
      </c>
      <c r="G96" s="944">
        <v>1061.9000000000001</v>
      </c>
      <c r="H96" s="944">
        <v>1061.9000000000001</v>
      </c>
      <c r="I96" s="944">
        <v>1061.9000000000001</v>
      </c>
      <c r="J96" s="944">
        <v>1061.9000000000001</v>
      </c>
      <c r="K96" s="944">
        <v>1061.9000000000001</v>
      </c>
      <c r="L96" s="944">
        <v>1061.9000000000001</v>
      </c>
      <c r="M96" s="944">
        <v>1061.9000000000001</v>
      </c>
      <c r="N96" s="944">
        <v>1061.9000000000001</v>
      </c>
      <c r="O96" s="944">
        <v>1061.5999999999999</v>
      </c>
      <c r="P96" s="944">
        <v>0</v>
      </c>
      <c r="Q96" s="944">
        <v>0</v>
      </c>
      <c r="R96" s="932" t="s">
        <v>2150</v>
      </c>
      <c r="S96" s="932" t="s">
        <v>1927</v>
      </c>
      <c r="T96" s="932" t="s">
        <v>2004</v>
      </c>
      <c r="U96" s="932" t="s">
        <v>2005</v>
      </c>
      <c r="V96" s="932" t="s">
        <v>1927</v>
      </c>
      <c r="W96" s="932" t="s">
        <v>1927</v>
      </c>
      <c r="X96" s="932" t="s">
        <v>2151</v>
      </c>
      <c r="Y96" s="932" t="s">
        <v>1927</v>
      </c>
      <c r="Z96" s="932" t="s">
        <v>2006</v>
      </c>
    </row>
    <row r="97" spans="1:26">
      <c r="A97" s="943" t="s">
        <v>2196</v>
      </c>
      <c r="B97" s="943" t="s">
        <v>2197</v>
      </c>
      <c r="C97" s="944">
        <v>19742.2</v>
      </c>
      <c r="D97" s="944">
        <v>1145.2</v>
      </c>
      <c r="E97" s="944">
        <v>8290.4</v>
      </c>
      <c r="F97" s="944">
        <v>1145.2</v>
      </c>
      <c r="G97" s="944">
        <v>3435.6</v>
      </c>
      <c r="H97" s="944">
        <v>0</v>
      </c>
      <c r="I97" s="944">
        <v>0</v>
      </c>
      <c r="J97" s="944">
        <v>3435.6</v>
      </c>
      <c r="K97" s="944">
        <v>0</v>
      </c>
      <c r="L97" s="944">
        <v>0</v>
      </c>
      <c r="M97" s="944">
        <v>2290.1999999999998</v>
      </c>
      <c r="N97" s="944">
        <v>0</v>
      </c>
      <c r="O97" s="944">
        <v>0</v>
      </c>
      <c r="P97" s="944">
        <v>0</v>
      </c>
      <c r="Q97" s="944">
        <v>0</v>
      </c>
      <c r="R97" s="932" t="s">
        <v>2150</v>
      </c>
      <c r="S97" s="932" t="s">
        <v>1927</v>
      </c>
      <c r="T97" s="932" t="s">
        <v>2008</v>
      </c>
      <c r="U97" s="932" t="s">
        <v>2009</v>
      </c>
      <c r="V97" s="932" t="s">
        <v>1927</v>
      </c>
      <c r="W97" s="932" t="s">
        <v>1927</v>
      </c>
      <c r="X97" s="932" t="s">
        <v>2151</v>
      </c>
      <c r="Y97" s="932" t="s">
        <v>1927</v>
      </c>
      <c r="Z97" s="932" t="s">
        <v>2010</v>
      </c>
    </row>
    <row r="98" spans="1:26">
      <c r="A98" s="943" t="s">
        <v>2198</v>
      </c>
      <c r="B98" s="943" t="s">
        <v>2199</v>
      </c>
      <c r="C98" s="944">
        <v>485.1</v>
      </c>
      <c r="D98" s="944">
        <v>0</v>
      </c>
      <c r="E98" s="944">
        <v>0</v>
      </c>
      <c r="F98" s="944">
        <v>0</v>
      </c>
      <c r="G98" s="944">
        <v>485.1</v>
      </c>
      <c r="H98" s="944">
        <v>0</v>
      </c>
      <c r="I98" s="944">
        <v>0</v>
      </c>
      <c r="J98" s="944">
        <v>0</v>
      </c>
      <c r="K98" s="944">
        <v>0</v>
      </c>
      <c r="L98" s="944">
        <v>0</v>
      </c>
      <c r="M98" s="944">
        <v>0</v>
      </c>
      <c r="N98" s="944">
        <v>0</v>
      </c>
      <c r="O98" s="944">
        <v>0</v>
      </c>
      <c r="P98" s="944">
        <v>0</v>
      </c>
      <c r="Q98" s="944">
        <v>0</v>
      </c>
      <c r="R98" s="932" t="s">
        <v>2150</v>
      </c>
      <c r="S98" s="932" t="s">
        <v>1927</v>
      </c>
      <c r="T98" s="932" t="s">
        <v>1927</v>
      </c>
      <c r="U98" s="932" t="s">
        <v>2012</v>
      </c>
      <c r="V98" s="932" t="s">
        <v>1927</v>
      </c>
      <c r="W98" s="932" t="s">
        <v>1927</v>
      </c>
      <c r="X98" s="932" t="s">
        <v>2151</v>
      </c>
      <c r="Y98" s="932" t="s">
        <v>1927</v>
      </c>
      <c r="Z98" s="932" t="s">
        <v>2013</v>
      </c>
    </row>
    <row r="99" spans="1:26">
      <c r="A99" s="943" t="s">
        <v>2200</v>
      </c>
      <c r="B99" s="943" t="s">
        <v>2201</v>
      </c>
      <c r="C99" s="944">
        <v>485.1</v>
      </c>
      <c r="D99" s="944">
        <v>0</v>
      </c>
      <c r="E99" s="944">
        <v>0</v>
      </c>
      <c r="F99" s="944">
        <v>0</v>
      </c>
      <c r="G99" s="944">
        <v>485.1</v>
      </c>
      <c r="H99" s="944">
        <v>0</v>
      </c>
      <c r="I99" s="944">
        <v>0</v>
      </c>
      <c r="J99" s="944">
        <v>0</v>
      </c>
      <c r="K99" s="944">
        <v>0</v>
      </c>
      <c r="L99" s="944">
        <v>0</v>
      </c>
      <c r="M99" s="944">
        <v>0</v>
      </c>
      <c r="N99" s="944">
        <v>0</v>
      </c>
      <c r="O99" s="944">
        <v>0</v>
      </c>
      <c r="P99" s="944">
        <v>0</v>
      </c>
      <c r="Q99" s="944">
        <v>0</v>
      </c>
      <c r="R99" s="932" t="s">
        <v>2150</v>
      </c>
      <c r="S99" s="932" t="s">
        <v>1927</v>
      </c>
      <c r="T99" s="932" t="s">
        <v>2015</v>
      </c>
      <c r="U99" s="932" t="s">
        <v>2016</v>
      </c>
      <c r="V99" s="932" t="s">
        <v>1927</v>
      </c>
      <c r="W99" s="932" t="s">
        <v>1927</v>
      </c>
      <c r="X99" s="932" t="s">
        <v>2151</v>
      </c>
      <c r="Y99" s="932" t="s">
        <v>1927</v>
      </c>
      <c r="Z99" s="932" t="s">
        <v>2017</v>
      </c>
    </row>
    <row r="100" spans="1:26">
      <c r="A100" s="943" t="s">
        <v>2202</v>
      </c>
      <c r="B100" s="943" t="s">
        <v>2203</v>
      </c>
      <c r="C100" s="944">
        <v>54827.8</v>
      </c>
      <c r="D100" s="944">
        <v>850</v>
      </c>
      <c r="E100" s="944">
        <v>16354</v>
      </c>
      <c r="F100" s="944">
        <v>8250</v>
      </c>
      <c r="G100" s="944">
        <v>0</v>
      </c>
      <c r="H100" s="944">
        <v>5894.5</v>
      </c>
      <c r="I100" s="944">
        <v>8250</v>
      </c>
      <c r="J100" s="944">
        <v>5894.5</v>
      </c>
      <c r="K100" s="944">
        <v>0</v>
      </c>
      <c r="L100" s="944">
        <v>8250</v>
      </c>
      <c r="M100" s="944">
        <v>1084.8</v>
      </c>
      <c r="N100" s="944">
        <v>0</v>
      </c>
      <c r="O100" s="944">
        <v>0</v>
      </c>
      <c r="P100" s="944">
        <v>0</v>
      </c>
      <c r="Q100" s="944">
        <v>0</v>
      </c>
      <c r="R100" s="932" t="s">
        <v>2150</v>
      </c>
      <c r="S100" s="932" t="s">
        <v>1927</v>
      </c>
      <c r="T100" s="932" t="s">
        <v>1927</v>
      </c>
      <c r="U100" s="932" t="s">
        <v>2019</v>
      </c>
      <c r="V100" s="932" t="s">
        <v>1927</v>
      </c>
      <c r="W100" s="932" t="s">
        <v>1927</v>
      </c>
      <c r="X100" s="932" t="s">
        <v>2151</v>
      </c>
      <c r="Y100" s="932" t="s">
        <v>1927</v>
      </c>
      <c r="Z100" s="932" t="s">
        <v>2020</v>
      </c>
    </row>
    <row r="101" spans="1:26">
      <c r="A101" s="943" t="s">
        <v>2204</v>
      </c>
      <c r="B101" s="943" t="s">
        <v>2205</v>
      </c>
      <c r="C101" s="944">
        <v>31250</v>
      </c>
      <c r="D101" s="944">
        <v>0</v>
      </c>
      <c r="E101" s="944">
        <v>6500</v>
      </c>
      <c r="F101" s="944">
        <v>8250</v>
      </c>
      <c r="G101" s="944">
        <v>0</v>
      </c>
      <c r="H101" s="944">
        <v>0</v>
      </c>
      <c r="I101" s="944">
        <v>8250</v>
      </c>
      <c r="J101" s="944">
        <v>0</v>
      </c>
      <c r="K101" s="944">
        <v>0</v>
      </c>
      <c r="L101" s="944">
        <v>8250</v>
      </c>
      <c r="M101" s="944">
        <v>0</v>
      </c>
      <c r="N101" s="944">
        <v>0</v>
      </c>
      <c r="O101" s="944">
        <v>0</v>
      </c>
      <c r="P101" s="944">
        <v>0</v>
      </c>
      <c r="Q101" s="944">
        <v>0</v>
      </c>
      <c r="R101" s="932" t="s">
        <v>2150</v>
      </c>
      <c r="S101" s="932" t="s">
        <v>1927</v>
      </c>
      <c r="T101" s="932" t="s">
        <v>2022</v>
      </c>
      <c r="U101" s="932" t="s">
        <v>2023</v>
      </c>
      <c r="V101" s="932" t="s">
        <v>1927</v>
      </c>
      <c r="W101" s="932" t="s">
        <v>1927</v>
      </c>
      <c r="X101" s="932" t="s">
        <v>2151</v>
      </c>
      <c r="Y101" s="932" t="s">
        <v>1927</v>
      </c>
      <c r="Z101" s="932" t="s">
        <v>230</v>
      </c>
    </row>
    <row r="102" spans="1:26">
      <c r="A102" s="943" t="s">
        <v>2206</v>
      </c>
      <c r="B102" s="943" t="s">
        <v>2207</v>
      </c>
      <c r="C102" s="944">
        <v>23577.8</v>
      </c>
      <c r="D102" s="944">
        <v>850</v>
      </c>
      <c r="E102" s="944">
        <v>9854</v>
      </c>
      <c r="F102" s="944">
        <v>0</v>
      </c>
      <c r="G102" s="944">
        <v>0</v>
      </c>
      <c r="H102" s="944">
        <v>5894.5</v>
      </c>
      <c r="I102" s="944">
        <v>0</v>
      </c>
      <c r="J102" s="944">
        <v>5894.5</v>
      </c>
      <c r="K102" s="944">
        <v>0</v>
      </c>
      <c r="L102" s="944">
        <v>0</v>
      </c>
      <c r="M102" s="944">
        <v>1084.8</v>
      </c>
      <c r="N102" s="944">
        <v>0</v>
      </c>
      <c r="O102" s="944">
        <v>0</v>
      </c>
      <c r="P102" s="944">
        <v>0</v>
      </c>
      <c r="Q102" s="944">
        <v>0</v>
      </c>
      <c r="R102" s="932" t="s">
        <v>2150</v>
      </c>
      <c r="S102" s="932" t="s">
        <v>1927</v>
      </c>
      <c r="T102" s="932" t="s">
        <v>2025</v>
      </c>
      <c r="U102" s="932" t="s">
        <v>2026</v>
      </c>
      <c r="V102" s="932" t="s">
        <v>1927</v>
      </c>
      <c r="W102" s="932" t="s">
        <v>1927</v>
      </c>
      <c r="X102" s="932" t="s">
        <v>2151</v>
      </c>
      <c r="Y102" s="932" t="s">
        <v>1927</v>
      </c>
      <c r="Z102" s="932" t="s">
        <v>2027</v>
      </c>
    </row>
    <row r="103" spans="1:26">
      <c r="A103" s="943" t="s">
        <v>2208</v>
      </c>
      <c r="B103" s="943" t="s">
        <v>2209</v>
      </c>
      <c r="C103" s="944">
        <v>23021.200000000001</v>
      </c>
      <c r="D103" s="944">
        <v>1918.4</v>
      </c>
      <c r="E103" s="944">
        <v>1918.4</v>
      </c>
      <c r="F103" s="944">
        <v>1918.4</v>
      </c>
      <c r="G103" s="944">
        <v>1918.4</v>
      </c>
      <c r="H103" s="944">
        <v>1918.4</v>
      </c>
      <c r="I103" s="944">
        <v>1918.4</v>
      </c>
      <c r="J103" s="944">
        <v>1918.4</v>
      </c>
      <c r="K103" s="944">
        <v>1918.4</v>
      </c>
      <c r="L103" s="944">
        <v>1918.4</v>
      </c>
      <c r="M103" s="944">
        <v>1918.4</v>
      </c>
      <c r="N103" s="944">
        <v>1918.4</v>
      </c>
      <c r="O103" s="944">
        <v>1918.8</v>
      </c>
      <c r="P103" s="944">
        <v>0</v>
      </c>
      <c r="Q103" s="944">
        <v>0</v>
      </c>
      <c r="R103" s="932" t="s">
        <v>2150</v>
      </c>
      <c r="S103" s="932" t="s">
        <v>1927</v>
      </c>
      <c r="T103" s="932" t="s">
        <v>1927</v>
      </c>
      <c r="U103" s="932" t="s">
        <v>2029</v>
      </c>
      <c r="V103" s="932" t="s">
        <v>1927</v>
      </c>
      <c r="W103" s="932" t="s">
        <v>1927</v>
      </c>
      <c r="X103" s="932" t="s">
        <v>2151</v>
      </c>
      <c r="Y103" s="932" t="s">
        <v>1927</v>
      </c>
      <c r="Z103" s="932" t="s">
        <v>2030</v>
      </c>
    </row>
    <row r="104" spans="1:26">
      <c r="A104" s="943" t="s">
        <v>2210</v>
      </c>
      <c r="B104" s="943" t="s">
        <v>2211</v>
      </c>
      <c r="C104" s="944">
        <v>23021.200000000001</v>
      </c>
      <c r="D104" s="944">
        <v>1918.4</v>
      </c>
      <c r="E104" s="944">
        <v>1918.4</v>
      </c>
      <c r="F104" s="944">
        <v>1918.4</v>
      </c>
      <c r="G104" s="944">
        <v>1918.4</v>
      </c>
      <c r="H104" s="944">
        <v>1918.4</v>
      </c>
      <c r="I104" s="944">
        <v>1918.4</v>
      </c>
      <c r="J104" s="944">
        <v>1918.4</v>
      </c>
      <c r="K104" s="944">
        <v>1918.4</v>
      </c>
      <c r="L104" s="944">
        <v>1918.4</v>
      </c>
      <c r="M104" s="944">
        <v>1918.4</v>
      </c>
      <c r="N104" s="944">
        <v>1918.4</v>
      </c>
      <c r="O104" s="944">
        <v>1918.8</v>
      </c>
      <c r="P104" s="944">
        <v>0</v>
      </c>
      <c r="Q104" s="944">
        <v>0</v>
      </c>
      <c r="R104" s="932" t="s">
        <v>2150</v>
      </c>
      <c r="S104" s="932" t="s">
        <v>1927</v>
      </c>
      <c r="T104" s="932" t="s">
        <v>2032</v>
      </c>
      <c r="U104" s="932" t="s">
        <v>2033</v>
      </c>
      <c r="V104" s="932" t="s">
        <v>1927</v>
      </c>
      <c r="W104" s="932" t="s">
        <v>1927</v>
      </c>
      <c r="X104" s="932" t="s">
        <v>2151</v>
      </c>
      <c r="Y104" s="932" t="s">
        <v>1927</v>
      </c>
      <c r="Z104" s="932" t="s">
        <v>2034</v>
      </c>
    </row>
    <row r="105" spans="1:26">
      <c r="A105" s="943" t="s">
        <v>2212</v>
      </c>
      <c r="B105" s="943" t="s">
        <v>2213</v>
      </c>
      <c r="C105" s="944">
        <v>259343.3</v>
      </c>
      <c r="D105" s="944">
        <v>21818.6</v>
      </c>
      <c r="E105" s="944">
        <v>26163.599999999999</v>
      </c>
      <c r="F105" s="944">
        <v>27164.5</v>
      </c>
      <c r="G105" s="944">
        <v>32536.2</v>
      </c>
      <c r="H105" s="944">
        <v>20718.599999999999</v>
      </c>
      <c r="I105" s="944">
        <v>23286.6</v>
      </c>
      <c r="J105" s="944">
        <v>11694</v>
      </c>
      <c r="K105" s="944">
        <v>11918.4</v>
      </c>
      <c r="L105" s="944">
        <v>16193.8</v>
      </c>
      <c r="M105" s="944">
        <v>28061.5</v>
      </c>
      <c r="N105" s="944">
        <v>19894</v>
      </c>
      <c r="O105" s="944">
        <v>19893.5</v>
      </c>
      <c r="P105" s="944">
        <v>0</v>
      </c>
      <c r="Q105" s="944">
        <v>0</v>
      </c>
      <c r="R105" s="932" t="s">
        <v>2150</v>
      </c>
      <c r="S105" s="932" t="s">
        <v>1927</v>
      </c>
      <c r="T105" s="932" t="s">
        <v>1927</v>
      </c>
      <c r="U105" s="932" t="s">
        <v>2036</v>
      </c>
      <c r="V105" s="932" t="s">
        <v>1927</v>
      </c>
      <c r="W105" s="932" t="s">
        <v>1927</v>
      </c>
      <c r="X105" s="932" t="s">
        <v>2151</v>
      </c>
      <c r="Y105" s="932" t="s">
        <v>1927</v>
      </c>
      <c r="Z105" s="932" t="s">
        <v>2037</v>
      </c>
    </row>
    <row r="106" spans="1:26">
      <c r="A106" s="943" t="s">
        <v>2214</v>
      </c>
      <c r="B106" s="943" t="s">
        <v>2215</v>
      </c>
      <c r="C106" s="944">
        <v>209727.3</v>
      </c>
      <c r="D106" s="944">
        <v>20794</v>
      </c>
      <c r="E106" s="944">
        <v>19694</v>
      </c>
      <c r="F106" s="944">
        <v>19694</v>
      </c>
      <c r="G106" s="944">
        <v>19694</v>
      </c>
      <c r="H106" s="944">
        <v>19694</v>
      </c>
      <c r="I106" s="944">
        <v>11694</v>
      </c>
      <c r="J106" s="944">
        <v>11694</v>
      </c>
      <c r="K106" s="944">
        <v>11694</v>
      </c>
      <c r="L106" s="944">
        <v>15993.8</v>
      </c>
      <c r="M106" s="944">
        <v>19694</v>
      </c>
      <c r="N106" s="944">
        <v>19694</v>
      </c>
      <c r="O106" s="944">
        <v>19693.5</v>
      </c>
      <c r="P106" s="944">
        <v>0</v>
      </c>
      <c r="Q106" s="944">
        <v>0</v>
      </c>
      <c r="R106" s="932" t="s">
        <v>2150</v>
      </c>
      <c r="S106" s="932" t="s">
        <v>1927</v>
      </c>
      <c r="T106" s="932" t="s">
        <v>2039</v>
      </c>
      <c r="U106" s="932" t="s">
        <v>2040</v>
      </c>
      <c r="V106" s="932" t="s">
        <v>1927</v>
      </c>
      <c r="W106" s="932" t="s">
        <v>1927</v>
      </c>
      <c r="X106" s="932" t="s">
        <v>2151</v>
      </c>
      <c r="Y106" s="932" t="s">
        <v>1927</v>
      </c>
      <c r="Z106" s="932" t="s">
        <v>2041</v>
      </c>
    </row>
    <row r="107" spans="1:26">
      <c r="A107" s="943" t="s">
        <v>2216</v>
      </c>
      <c r="B107" s="943" t="s">
        <v>2217</v>
      </c>
      <c r="C107" s="944">
        <v>2852.2</v>
      </c>
      <c r="D107" s="944">
        <v>0</v>
      </c>
      <c r="E107" s="944">
        <v>0</v>
      </c>
      <c r="F107" s="944">
        <v>2852.2</v>
      </c>
      <c r="G107" s="944">
        <v>0</v>
      </c>
      <c r="H107" s="944">
        <v>0</v>
      </c>
      <c r="I107" s="944">
        <v>0</v>
      </c>
      <c r="J107" s="944">
        <v>0</v>
      </c>
      <c r="K107" s="944">
        <v>0</v>
      </c>
      <c r="L107" s="944">
        <v>0</v>
      </c>
      <c r="M107" s="944">
        <v>0</v>
      </c>
      <c r="N107" s="944">
        <v>0</v>
      </c>
      <c r="O107" s="944">
        <v>0</v>
      </c>
      <c r="P107" s="944">
        <v>0</v>
      </c>
      <c r="Q107" s="944">
        <v>0</v>
      </c>
      <c r="R107" s="932" t="s">
        <v>2150</v>
      </c>
      <c r="S107" s="932" t="s">
        <v>1927</v>
      </c>
      <c r="T107" s="932" t="s">
        <v>2043</v>
      </c>
      <c r="U107" s="932" t="s">
        <v>2044</v>
      </c>
      <c r="V107" s="932" t="s">
        <v>1927</v>
      </c>
      <c r="W107" s="932" t="s">
        <v>1927</v>
      </c>
      <c r="X107" s="932" t="s">
        <v>2151</v>
      </c>
      <c r="Y107" s="932" t="s">
        <v>1927</v>
      </c>
      <c r="Z107" s="932" t="s">
        <v>2045</v>
      </c>
    </row>
    <row r="108" spans="1:26">
      <c r="A108" s="943" t="s">
        <v>2218</v>
      </c>
      <c r="B108" s="943" t="s">
        <v>2219</v>
      </c>
      <c r="C108" s="944">
        <v>871.2</v>
      </c>
      <c r="D108" s="944">
        <v>0</v>
      </c>
      <c r="E108" s="944">
        <v>0</v>
      </c>
      <c r="F108" s="944">
        <v>871.2</v>
      </c>
      <c r="G108" s="944">
        <v>0</v>
      </c>
      <c r="H108" s="944">
        <v>0</v>
      </c>
      <c r="I108" s="944">
        <v>0</v>
      </c>
      <c r="J108" s="944">
        <v>0</v>
      </c>
      <c r="K108" s="944">
        <v>0</v>
      </c>
      <c r="L108" s="944">
        <v>0</v>
      </c>
      <c r="M108" s="944">
        <v>0</v>
      </c>
      <c r="N108" s="944">
        <v>0</v>
      </c>
      <c r="O108" s="944">
        <v>0</v>
      </c>
      <c r="P108" s="944">
        <v>0</v>
      </c>
      <c r="Q108" s="944">
        <v>0</v>
      </c>
      <c r="R108" s="932" t="s">
        <v>2150</v>
      </c>
      <c r="S108" s="932" t="s">
        <v>1927</v>
      </c>
      <c r="T108" s="932" t="s">
        <v>2047</v>
      </c>
      <c r="U108" s="932" t="s">
        <v>2048</v>
      </c>
      <c r="V108" s="932" t="s">
        <v>1927</v>
      </c>
      <c r="W108" s="932" t="s">
        <v>1927</v>
      </c>
      <c r="X108" s="932" t="s">
        <v>2151</v>
      </c>
      <c r="Y108" s="932" t="s">
        <v>1927</v>
      </c>
      <c r="Z108" s="932" t="s">
        <v>127</v>
      </c>
    </row>
    <row r="109" spans="1:26">
      <c r="A109" s="943" t="s">
        <v>2220</v>
      </c>
      <c r="B109" s="943" t="s">
        <v>2221</v>
      </c>
      <c r="C109" s="944">
        <v>185.1</v>
      </c>
      <c r="D109" s="944">
        <v>0</v>
      </c>
      <c r="E109" s="944">
        <v>0</v>
      </c>
      <c r="F109" s="944">
        <v>0</v>
      </c>
      <c r="G109" s="944">
        <v>185.1</v>
      </c>
      <c r="H109" s="944">
        <v>0</v>
      </c>
      <c r="I109" s="944">
        <v>0</v>
      </c>
      <c r="J109" s="944">
        <v>0</v>
      </c>
      <c r="K109" s="944">
        <v>0</v>
      </c>
      <c r="L109" s="944">
        <v>0</v>
      </c>
      <c r="M109" s="944">
        <v>0</v>
      </c>
      <c r="N109" s="944">
        <v>0</v>
      </c>
      <c r="O109" s="944">
        <v>0</v>
      </c>
      <c r="P109" s="944">
        <v>0</v>
      </c>
      <c r="Q109" s="944">
        <v>0</v>
      </c>
      <c r="R109" s="932" t="s">
        <v>2150</v>
      </c>
      <c r="S109" s="932" t="s">
        <v>1927</v>
      </c>
      <c r="T109" s="932" t="s">
        <v>2050</v>
      </c>
      <c r="U109" s="932" t="s">
        <v>2051</v>
      </c>
      <c r="V109" s="932" t="s">
        <v>1927</v>
      </c>
      <c r="W109" s="932" t="s">
        <v>1927</v>
      </c>
      <c r="X109" s="932" t="s">
        <v>2151</v>
      </c>
      <c r="Y109" s="932" t="s">
        <v>1927</v>
      </c>
      <c r="Z109" s="932" t="s">
        <v>123</v>
      </c>
    </row>
    <row r="110" spans="1:26">
      <c r="A110" s="943" t="s">
        <v>2222</v>
      </c>
      <c r="B110" s="943" t="s">
        <v>2223</v>
      </c>
      <c r="C110" s="944">
        <v>12295</v>
      </c>
      <c r="D110" s="944">
        <v>1024.5999999999999</v>
      </c>
      <c r="E110" s="944">
        <v>1024.5999999999999</v>
      </c>
      <c r="F110" s="944">
        <v>1024.5999999999999</v>
      </c>
      <c r="G110" s="944">
        <v>1024.5999999999999</v>
      </c>
      <c r="H110" s="944">
        <v>1024.5999999999999</v>
      </c>
      <c r="I110" s="944">
        <v>6147.6</v>
      </c>
      <c r="J110" s="944">
        <v>0</v>
      </c>
      <c r="K110" s="944">
        <v>224.4</v>
      </c>
      <c r="L110" s="944">
        <v>200</v>
      </c>
      <c r="M110" s="944">
        <v>200</v>
      </c>
      <c r="N110" s="944">
        <v>200</v>
      </c>
      <c r="O110" s="944">
        <v>200</v>
      </c>
      <c r="P110" s="944">
        <v>0</v>
      </c>
      <c r="Q110" s="944">
        <v>0</v>
      </c>
      <c r="R110" s="932" t="s">
        <v>2150</v>
      </c>
      <c r="S110" s="932" t="s">
        <v>1927</v>
      </c>
      <c r="T110" s="932" t="s">
        <v>2053</v>
      </c>
      <c r="U110" s="932" t="s">
        <v>2054</v>
      </c>
      <c r="V110" s="932" t="s">
        <v>1927</v>
      </c>
      <c r="W110" s="932" t="s">
        <v>1927</v>
      </c>
      <c r="X110" s="932" t="s">
        <v>2151</v>
      </c>
      <c r="Y110" s="932" t="s">
        <v>1927</v>
      </c>
      <c r="Z110" s="932" t="s">
        <v>2055</v>
      </c>
    </row>
    <row r="111" spans="1:26">
      <c r="A111" s="943" t="s">
        <v>2224</v>
      </c>
      <c r="B111" s="943" t="s">
        <v>2225</v>
      </c>
      <c r="C111" s="944">
        <v>742.5</v>
      </c>
      <c r="D111" s="944">
        <v>0</v>
      </c>
      <c r="E111" s="944">
        <v>0</v>
      </c>
      <c r="F111" s="944">
        <v>0</v>
      </c>
      <c r="G111" s="944">
        <v>742.5</v>
      </c>
      <c r="H111" s="944">
        <v>0</v>
      </c>
      <c r="I111" s="944">
        <v>0</v>
      </c>
      <c r="J111" s="944">
        <v>0</v>
      </c>
      <c r="K111" s="944">
        <v>0</v>
      </c>
      <c r="L111" s="944">
        <v>0</v>
      </c>
      <c r="M111" s="944">
        <v>0</v>
      </c>
      <c r="N111" s="944">
        <v>0</v>
      </c>
      <c r="O111" s="944">
        <v>0</v>
      </c>
      <c r="P111" s="944">
        <v>0</v>
      </c>
      <c r="Q111" s="944">
        <v>0</v>
      </c>
      <c r="R111" s="932" t="s">
        <v>2150</v>
      </c>
      <c r="S111" s="932" t="s">
        <v>1927</v>
      </c>
      <c r="T111" s="932" t="s">
        <v>2057</v>
      </c>
      <c r="U111" s="932" t="s">
        <v>2058</v>
      </c>
      <c r="V111" s="932" t="s">
        <v>1927</v>
      </c>
      <c r="W111" s="932" t="s">
        <v>1927</v>
      </c>
      <c r="X111" s="932" t="s">
        <v>2151</v>
      </c>
      <c r="Y111" s="932" t="s">
        <v>1927</v>
      </c>
      <c r="Z111" s="932" t="s">
        <v>2059</v>
      </c>
    </row>
    <row r="112" spans="1:26">
      <c r="A112" s="943" t="s">
        <v>2226</v>
      </c>
      <c r="B112" s="943" t="s">
        <v>2227</v>
      </c>
      <c r="C112" s="944">
        <v>32670</v>
      </c>
      <c r="D112" s="944">
        <v>0</v>
      </c>
      <c r="E112" s="944">
        <v>5445</v>
      </c>
      <c r="F112" s="944">
        <v>2722.5</v>
      </c>
      <c r="G112" s="944">
        <v>10890</v>
      </c>
      <c r="H112" s="944">
        <v>0</v>
      </c>
      <c r="I112" s="944">
        <v>5445</v>
      </c>
      <c r="J112" s="944">
        <v>0</v>
      </c>
      <c r="K112" s="944">
        <v>0</v>
      </c>
      <c r="L112" s="944">
        <v>0</v>
      </c>
      <c r="M112" s="944">
        <v>8167.5</v>
      </c>
      <c r="N112" s="944">
        <v>0</v>
      </c>
      <c r="O112" s="944">
        <v>0</v>
      </c>
      <c r="P112" s="944">
        <v>0</v>
      </c>
      <c r="Q112" s="944">
        <v>0</v>
      </c>
      <c r="R112" s="932" t="s">
        <v>2150</v>
      </c>
      <c r="S112" s="932" t="s">
        <v>1927</v>
      </c>
      <c r="T112" s="932" t="s">
        <v>2061</v>
      </c>
      <c r="U112" s="932" t="s">
        <v>2062</v>
      </c>
      <c r="V112" s="932" t="s">
        <v>1927</v>
      </c>
      <c r="W112" s="932" t="s">
        <v>1927</v>
      </c>
      <c r="X112" s="932" t="s">
        <v>2151</v>
      </c>
      <c r="Y112" s="932" t="s">
        <v>1927</v>
      </c>
      <c r="Z112" s="932" t="s">
        <v>2063</v>
      </c>
    </row>
    <row r="113" spans="1:26">
      <c r="A113" s="943" t="s">
        <v>2228</v>
      </c>
      <c r="B113" s="943" t="s">
        <v>2229</v>
      </c>
      <c r="C113" s="944">
        <v>3041812.7</v>
      </c>
      <c r="D113" s="944">
        <v>252359</v>
      </c>
      <c r="E113" s="944">
        <v>327359</v>
      </c>
      <c r="F113" s="944">
        <v>252359</v>
      </c>
      <c r="G113" s="944">
        <v>198864</v>
      </c>
      <c r="H113" s="944">
        <v>244359</v>
      </c>
      <c r="I113" s="944">
        <v>252359</v>
      </c>
      <c r="J113" s="944">
        <v>252359</v>
      </c>
      <c r="K113" s="944">
        <v>252359</v>
      </c>
      <c r="L113" s="944">
        <v>252359</v>
      </c>
      <c r="M113" s="944">
        <v>252359</v>
      </c>
      <c r="N113" s="944">
        <v>252359</v>
      </c>
      <c r="O113" s="944">
        <v>252358.7</v>
      </c>
      <c r="P113" s="944">
        <v>0</v>
      </c>
      <c r="Q113" s="944">
        <v>0</v>
      </c>
      <c r="R113" s="932" t="s">
        <v>2150</v>
      </c>
      <c r="S113" s="932" t="s">
        <v>1927</v>
      </c>
      <c r="T113" s="932" t="s">
        <v>1927</v>
      </c>
      <c r="U113" s="932" t="s">
        <v>2065</v>
      </c>
      <c r="V113" s="932" t="s">
        <v>1927</v>
      </c>
      <c r="W113" s="932" t="s">
        <v>1927</v>
      </c>
      <c r="X113" s="932" t="s">
        <v>2151</v>
      </c>
      <c r="Y113" s="932" t="s">
        <v>1927</v>
      </c>
      <c r="Z113" s="932" t="s">
        <v>2066</v>
      </c>
    </row>
    <row r="114" spans="1:26">
      <c r="A114" s="943" t="s">
        <v>2230</v>
      </c>
      <c r="B114" s="943" t="s">
        <v>2231</v>
      </c>
      <c r="C114" s="944">
        <v>21505</v>
      </c>
      <c r="D114" s="944">
        <v>0</v>
      </c>
      <c r="E114" s="944">
        <v>75000</v>
      </c>
      <c r="F114" s="944">
        <v>0</v>
      </c>
      <c r="G114" s="944">
        <v>-53495</v>
      </c>
      <c r="H114" s="944">
        <v>0</v>
      </c>
      <c r="I114" s="944">
        <v>0</v>
      </c>
      <c r="J114" s="944">
        <v>0</v>
      </c>
      <c r="K114" s="944">
        <v>0</v>
      </c>
      <c r="L114" s="944">
        <v>0</v>
      </c>
      <c r="M114" s="944">
        <v>0</v>
      </c>
      <c r="N114" s="944">
        <v>0</v>
      </c>
      <c r="O114" s="944">
        <v>0</v>
      </c>
      <c r="P114" s="944">
        <v>0</v>
      </c>
      <c r="Q114" s="944">
        <v>0</v>
      </c>
      <c r="R114" s="932" t="s">
        <v>2150</v>
      </c>
      <c r="S114" s="932" t="s">
        <v>1927</v>
      </c>
      <c r="T114" s="932" t="s">
        <v>2068</v>
      </c>
      <c r="U114" s="932" t="s">
        <v>2069</v>
      </c>
      <c r="V114" s="932" t="s">
        <v>1927</v>
      </c>
      <c r="W114" s="932" t="s">
        <v>1927</v>
      </c>
      <c r="X114" s="932" t="s">
        <v>2151</v>
      </c>
      <c r="Y114" s="932" t="s">
        <v>1927</v>
      </c>
      <c r="Z114" s="932" t="s">
        <v>2066</v>
      </c>
    </row>
    <row r="115" spans="1:26">
      <c r="A115" s="943" t="s">
        <v>2232</v>
      </c>
      <c r="B115" s="943" t="s">
        <v>2233</v>
      </c>
      <c r="C115" s="944">
        <v>3020307.7</v>
      </c>
      <c r="D115" s="944">
        <v>252359</v>
      </c>
      <c r="E115" s="944">
        <v>252359</v>
      </c>
      <c r="F115" s="944">
        <v>252359</v>
      </c>
      <c r="G115" s="944">
        <v>252359</v>
      </c>
      <c r="H115" s="944">
        <v>244359</v>
      </c>
      <c r="I115" s="944">
        <v>252359</v>
      </c>
      <c r="J115" s="944">
        <v>252359</v>
      </c>
      <c r="K115" s="944">
        <v>252359</v>
      </c>
      <c r="L115" s="944">
        <v>252359</v>
      </c>
      <c r="M115" s="944">
        <v>252359</v>
      </c>
      <c r="N115" s="944">
        <v>252359</v>
      </c>
      <c r="O115" s="944">
        <v>252358.7</v>
      </c>
      <c r="P115" s="944">
        <v>0</v>
      </c>
      <c r="Q115" s="944">
        <v>0</v>
      </c>
      <c r="R115" s="932" t="s">
        <v>2150</v>
      </c>
      <c r="S115" s="932" t="s">
        <v>1927</v>
      </c>
      <c r="T115" s="932" t="s">
        <v>2071</v>
      </c>
      <c r="U115" s="932" t="s">
        <v>2072</v>
      </c>
      <c r="V115" s="932" t="s">
        <v>1927</v>
      </c>
      <c r="W115" s="932" t="s">
        <v>1927</v>
      </c>
      <c r="X115" s="932" t="s">
        <v>2151</v>
      </c>
      <c r="Y115" s="932" t="s">
        <v>1927</v>
      </c>
      <c r="Z115" s="932" t="s">
        <v>2073</v>
      </c>
    </row>
    <row r="116" spans="1:26">
      <c r="A116" s="943" t="s">
        <v>2234</v>
      </c>
      <c r="B116" s="943" t="s">
        <v>2235</v>
      </c>
      <c r="C116" s="944">
        <v>31700</v>
      </c>
      <c r="D116" s="944">
        <v>0</v>
      </c>
      <c r="E116" s="944">
        <v>0</v>
      </c>
      <c r="F116" s="944">
        <v>0</v>
      </c>
      <c r="G116" s="944">
        <v>0</v>
      </c>
      <c r="H116" s="944">
        <v>8000</v>
      </c>
      <c r="I116" s="944">
        <v>0</v>
      </c>
      <c r="J116" s="944">
        <v>0</v>
      </c>
      <c r="K116" s="944">
        <v>0</v>
      </c>
      <c r="L116" s="944">
        <v>0</v>
      </c>
      <c r="M116" s="944">
        <v>0</v>
      </c>
      <c r="N116" s="944">
        <v>0</v>
      </c>
      <c r="O116" s="944">
        <v>23700</v>
      </c>
      <c r="P116" s="944">
        <v>0</v>
      </c>
      <c r="Q116" s="944">
        <v>0</v>
      </c>
      <c r="R116" s="932" t="s">
        <v>2150</v>
      </c>
      <c r="S116" s="932" t="s">
        <v>1927</v>
      </c>
      <c r="T116" s="932" t="s">
        <v>1927</v>
      </c>
      <c r="U116" s="932" t="s">
        <v>2075</v>
      </c>
      <c r="V116" s="932" t="s">
        <v>1927</v>
      </c>
      <c r="W116" s="932" t="s">
        <v>1927</v>
      </c>
      <c r="X116" s="932" t="s">
        <v>2151</v>
      </c>
      <c r="Y116" s="932" t="s">
        <v>1927</v>
      </c>
      <c r="Z116" s="932" t="s">
        <v>2076</v>
      </c>
    </row>
    <row r="117" spans="1:26">
      <c r="A117" s="943" t="s">
        <v>2236</v>
      </c>
      <c r="B117" s="943" t="s">
        <v>2237</v>
      </c>
      <c r="C117" s="944">
        <v>31700</v>
      </c>
      <c r="D117" s="944">
        <v>0</v>
      </c>
      <c r="E117" s="944">
        <v>0</v>
      </c>
      <c r="F117" s="944">
        <v>0</v>
      </c>
      <c r="G117" s="944">
        <v>0</v>
      </c>
      <c r="H117" s="944">
        <v>8000</v>
      </c>
      <c r="I117" s="944">
        <v>0</v>
      </c>
      <c r="J117" s="944">
        <v>0</v>
      </c>
      <c r="K117" s="944">
        <v>0</v>
      </c>
      <c r="L117" s="944">
        <v>0</v>
      </c>
      <c r="M117" s="944">
        <v>0</v>
      </c>
      <c r="N117" s="944">
        <v>0</v>
      </c>
      <c r="O117" s="944">
        <v>23700</v>
      </c>
      <c r="P117" s="944">
        <v>0</v>
      </c>
      <c r="Q117" s="944">
        <v>0</v>
      </c>
      <c r="R117" s="932" t="s">
        <v>2150</v>
      </c>
      <c r="S117" s="932" t="s">
        <v>1927</v>
      </c>
      <c r="T117" s="932" t="s">
        <v>1927</v>
      </c>
      <c r="U117" s="932" t="s">
        <v>2078</v>
      </c>
      <c r="V117" s="932" t="s">
        <v>1927</v>
      </c>
      <c r="W117" s="932" t="s">
        <v>1927</v>
      </c>
      <c r="X117" s="932" t="s">
        <v>2151</v>
      </c>
      <c r="Y117" s="932" t="s">
        <v>1927</v>
      </c>
      <c r="Z117" s="932" t="s">
        <v>2079</v>
      </c>
    </row>
    <row r="118" spans="1:26">
      <c r="A118" s="943" t="s">
        <v>2238</v>
      </c>
      <c r="B118" s="943" t="s">
        <v>2239</v>
      </c>
      <c r="C118" s="944">
        <v>8000</v>
      </c>
      <c r="D118" s="944">
        <v>0</v>
      </c>
      <c r="E118" s="944">
        <v>0</v>
      </c>
      <c r="F118" s="944">
        <v>0</v>
      </c>
      <c r="G118" s="944">
        <v>0</v>
      </c>
      <c r="H118" s="944">
        <v>8000</v>
      </c>
      <c r="I118" s="944">
        <v>0</v>
      </c>
      <c r="J118" s="944">
        <v>0</v>
      </c>
      <c r="K118" s="944">
        <v>0</v>
      </c>
      <c r="L118" s="944">
        <v>0</v>
      </c>
      <c r="M118" s="944">
        <v>0</v>
      </c>
      <c r="N118" s="944">
        <v>0</v>
      </c>
      <c r="O118" s="944">
        <v>0</v>
      </c>
      <c r="P118" s="944">
        <v>0</v>
      </c>
      <c r="Q118" s="944">
        <v>0</v>
      </c>
      <c r="R118" s="932" t="s">
        <v>2150</v>
      </c>
      <c r="S118" s="932" t="s">
        <v>1927</v>
      </c>
      <c r="T118" s="932" t="s">
        <v>2081</v>
      </c>
      <c r="U118" s="932" t="s">
        <v>2082</v>
      </c>
      <c r="V118" s="932" t="s">
        <v>1927</v>
      </c>
      <c r="W118" s="932" t="s">
        <v>1927</v>
      </c>
      <c r="X118" s="932" t="s">
        <v>2151</v>
      </c>
      <c r="Y118" s="932" t="s">
        <v>1927</v>
      </c>
      <c r="Z118" s="932" t="s">
        <v>2083</v>
      </c>
    </row>
    <row r="119" spans="1:26">
      <c r="A119" s="943" t="s">
        <v>2240</v>
      </c>
      <c r="B119" s="943" t="s">
        <v>2241</v>
      </c>
      <c r="C119" s="944">
        <v>23700</v>
      </c>
      <c r="D119" s="944">
        <v>0</v>
      </c>
      <c r="E119" s="944">
        <v>0</v>
      </c>
      <c r="F119" s="944">
        <v>0</v>
      </c>
      <c r="G119" s="944">
        <v>0</v>
      </c>
      <c r="H119" s="944">
        <v>0</v>
      </c>
      <c r="I119" s="944">
        <v>0</v>
      </c>
      <c r="J119" s="944">
        <v>0</v>
      </c>
      <c r="K119" s="944">
        <v>0</v>
      </c>
      <c r="L119" s="944">
        <v>0</v>
      </c>
      <c r="M119" s="944">
        <v>0</v>
      </c>
      <c r="N119" s="944">
        <v>0</v>
      </c>
      <c r="O119" s="944">
        <v>23700</v>
      </c>
      <c r="P119" s="944">
        <v>0</v>
      </c>
      <c r="Q119" s="944">
        <v>0</v>
      </c>
      <c r="R119" s="932" t="s">
        <v>2150</v>
      </c>
      <c r="S119" s="932" t="s">
        <v>1927</v>
      </c>
      <c r="T119" s="932" t="s">
        <v>2085</v>
      </c>
      <c r="U119" s="932" t="s">
        <v>2086</v>
      </c>
      <c r="V119" s="932" t="s">
        <v>1927</v>
      </c>
      <c r="W119" s="932" t="s">
        <v>1927</v>
      </c>
      <c r="X119" s="932" t="s">
        <v>2151</v>
      </c>
      <c r="Y119" s="932" t="s">
        <v>1927</v>
      </c>
      <c r="Z119" s="932" t="s">
        <v>2087</v>
      </c>
    </row>
    <row r="120" spans="1:26">
      <c r="A120" s="943" t="s">
        <v>2242</v>
      </c>
      <c r="B120" s="943" t="s">
        <v>2243</v>
      </c>
      <c r="C120" s="944">
        <v>4500885.8</v>
      </c>
      <c r="D120" s="944">
        <v>361103.6</v>
      </c>
      <c r="E120" s="944">
        <v>464665.4</v>
      </c>
      <c r="F120" s="944">
        <v>375417.1</v>
      </c>
      <c r="G120" s="944">
        <v>321819.3</v>
      </c>
      <c r="H120" s="944">
        <v>365470.5</v>
      </c>
      <c r="I120" s="944">
        <v>391923.4</v>
      </c>
      <c r="J120" s="944">
        <v>362400.9</v>
      </c>
      <c r="K120" s="944">
        <v>349795.2</v>
      </c>
      <c r="L120" s="944">
        <v>362301.2</v>
      </c>
      <c r="M120" s="944">
        <v>370293.9</v>
      </c>
      <c r="N120" s="944">
        <v>358751.4</v>
      </c>
      <c r="O120" s="944">
        <v>416943.9</v>
      </c>
      <c r="P120" s="944">
        <v>0</v>
      </c>
      <c r="Q120" s="944">
        <v>0</v>
      </c>
      <c r="R120" s="932" t="s">
        <v>2150</v>
      </c>
      <c r="S120" s="932" t="s">
        <v>1927</v>
      </c>
      <c r="T120" s="932" t="s">
        <v>1927</v>
      </c>
      <c r="U120" s="932" t="s">
        <v>2089</v>
      </c>
      <c r="V120" s="932" t="s">
        <v>1927</v>
      </c>
      <c r="W120" s="932" t="s">
        <v>1927</v>
      </c>
      <c r="X120" s="932" t="s">
        <v>2151</v>
      </c>
      <c r="Y120" s="932" t="s">
        <v>1927</v>
      </c>
      <c r="Z120" s="932" t="s">
        <v>2090</v>
      </c>
    </row>
    <row r="121" spans="1:26">
      <c r="A121" s="943" t="s">
        <v>2244</v>
      </c>
      <c r="B121" s="943" t="s">
        <v>2245</v>
      </c>
      <c r="C121" s="944">
        <v>4000885.8</v>
      </c>
      <c r="D121" s="944">
        <v>319437</v>
      </c>
      <c r="E121" s="944">
        <v>422998.8</v>
      </c>
      <c r="F121" s="944">
        <v>333750.5</v>
      </c>
      <c r="G121" s="944">
        <v>280152.7</v>
      </c>
      <c r="H121" s="944">
        <v>323803.90000000002</v>
      </c>
      <c r="I121" s="944">
        <v>350256.8</v>
      </c>
      <c r="J121" s="944">
        <v>320734.3</v>
      </c>
      <c r="K121" s="944">
        <v>308128.59999999998</v>
      </c>
      <c r="L121" s="944">
        <v>320634.59999999998</v>
      </c>
      <c r="M121" s="944">
        <v>328627.3</v>
      </c>
      <c r="N121" s="944">
        <v>317084.79999999999</v>
      </c>
      <c r="O121" s="944">
        <v>375276.5</v>
      </c>
      <c r="P121" s="944">
        <v>0</v>
      </c>
      <c r="Q121" s="944">
        <v>0</v>
      </c>
      <c r="R121" s="932" t="s">
        <v>2150</v>
      </c>
      <c r="S121" s="932" t="s">
        <v>1927</v>
      </c>
      <c r="T121" s="932" t="s">
        <v>1927</v>
      </c>
      <c r="U121" s="932" t="s">
        <v>2092</v>
      </c>
      <c r="V121" s="932" t="s">
        <v>1927</v>
      </c>
      <c r="W121" s="932" t="s">
        <v>1927</v>
      </c>
      <c r="X121" s="932" t="s">
        <v>2151</v>
      </c>
      <c r="Y121" s="932" t="s">
        <v>1927</v>
      </c>
      <c r="Z121" s="932" t="s">
        <v>2093</v>
      </c>
    </row>
    <row r="122" spans="1:26">
      <c r="A122" s="943" t="s">
        <v>2246</v>
      </c>
      <c r="B122" s="943" t="s">
        <v>2247</v>
      </c>
      <c r="C122" s="944">
        <v>4000885.8</v>
      </c>
      <c r="D122" s="944">
        <v>319437</v>
      </c>
      <c r="E122" s="944">
        <v>422998.8</v>
      </c>
      <c r="F122" s="944">
        <v>333750.5</v>
      </c>
      <c r="G122" s="944">
        <v>280152.7</v>
      </c>
      <c r="H122" s="944">
        <v>323803.90000000002</v>
      </c>
      <c r="I122" s="944">
        <v>350256.8</v>
      </c>
      <c r="J122" s="944">
        <v>320734.3</v>
      </c>
      <c r="K122" s="944">
        <v>308128.59999999998</v>
      </c>
      <c r="L122" s="944">
        <v>320634.59999999998</v>
      </c>
      <c r="M122" s="944">
        <v>328627.3</v>
      </c>
      <c r="N122" s="944">
        <v>317084.79999999999</v>
      </c>
      <c r="O122" s="944">
        <v>375276.5</v>
      </c>
      <c r="P122" s="944">
        <v>0</v>
      </c>
      <c r="Q122" s="944">
        <v>0</v>
      </c>
      <c r="R122" s="932" t="s">
        <v>2150</v>
      </c>
      <c r="S122" s="932" t="s">
        <v>1927</v>
      </c>
      <c r="T122" s="932" t="s">
        <v>2095</v>
      </c>
      <c r="U122" s="932" t="s">
        <v>2096</v>
      </c>
      <c r="V122" s="932" t="s">
        <v>1927</v>
      </c>
      <c r="W122" s="932" t="s">
        <v>1927</v>
      </c>
      <c r="X122" s="932" t="s">
        <v>2151</v>
      </c>
      <c r="Y122" s="932" t="s">
        <v>1927</v>
      </c>
      <c r="Z122" s="932" t="s">
        <v>2093</v>
      </c>
    </row>
    <row r="123" spans="1:26">
      <c r="A123" s="943" t="s">
        <v>2248</v>
      </c>
      <c r="B123" s="943" t="s">
        <v>2249</v>
      </c>
      <c r="C123" s="944">
        <v>500000</v>
      </c>
      <c r="D123" s="944">
        <v>41666.6</v>
      </c>
      <c r="E123" s="944">
        <v>41666.6</v>
      </c>
      <c r="F123" s="944">
        <v>41666.6</v>
      </c>
      <c r="G123" s="944">
        <v>41666.6</v>
      </c>
      <c r="H123" s="944">
        <v>41666.6</v>
      </c>
      <c r="I123" s="944">
        <v>41666.6</v>
      </c>
      <c r="J123" s="944">
        <v>41666.6</v>
      </c>
      <c r="K123" s="944">
        <v>41666.6</v>
      </c>
      <c r="L123" s="944">
        <v>41666.6</v>
      </c>
      <c r="M123" s="944">
        <v>41666.6</v>
      </c>
      <c r="N123" s="944">
        <v>41666.6</v>
      </c>
      <c r="O123" s="944">
        <v>41667.4</v>
      </c>
      <c r="P123" s="944">
        <v>0</v>
      </c>
      <c r="Q123" s="944">
        <v>0</v>
      </c>
      <c r="R123" s="932" t="s">
        <v>2150</v>
      </c>
      <c r="S123" s="932" t="s">
        <v>1927</v>
      </c>
      <c r="T123" s="932" t="s">
        <v>1927</v>
      </c>
      <c r="U123" s="932" t="s">
        <v>2098</v>
      </c>
      <c r="V123" s="932" t="s">
        <v>1927</v>
      </c>
      <c r="W123" s="932" t="s">
        <v>1927</v>
      </c>
      <c r="X123" s="932" t="s">
        <v>2151</v>
      </c>
      <c r="Y123" s="932" t="s">
        <v>1927</v>
      </c>
      <c r="Z123" s="932" t="s">
        <v>2099</v>
      </c>
    </row>
    <row r="124" spans="1:26">
      <c r="A124" s="943" t="s">
        <v>2250</v>
      </c>
      <c r="B124" s="943" t="s">
        <v>2251</v>
      </c>
      <c r="C124" s="944">
        <v>400000</v>
      </c>
      <c r="D124" s="944">
        <v>33333.300000000003</v>
      </c>
      <c r="E124" s="944">
        <v>33333.300000000003</v>
      </c>
      <c r="F124" s="944">
        <v>33333.300000000003</v>
      </c>
      <c r="G124" s="944">
        <v>33333.300000000003</v>
      </c>
      <c r="H124" s="944">
        <v>33333.300000000003</v>
      </c>
      <c r="I124" s="944">
        <v>33333.300000000003</v>
      </c>
      <c r="J124" s="944">
        <v>33333.300000000003</v>
      </c>
      <c r="K124" s="944">
        <v>33333.300000000003</v>
      </c>
      <c r="L124" s="944">
        <v>33333.300000000003</v>
      </c>
      <c r="M124" s="944">
        <v>33333.300000000003</v>
      </c>
      <c r="N124" s="944">
        <v>33333.300000000003</v>
      </c>
      <c r="O124" s="944">
        <v>33333.699999999997</v>
      </c>
      <c r="P124" s="944">
        <v>0</v>
      </c>
      <c r="Q124" s="944">
        <v>0</v>
      </c>
      <c r="R124" s="932" t="s">
        <v>2150</v>
      </c>
      <c r="S124" s="932" t="s">
        <v>1927</v>
      </c>
      <c r="T124" s="932" t="s">
        <v>2101</v>
      </c>
      <c r="U124" s="932" t="s">
        <v>2102</v>
      </c>
      <c r="V124" s="932" t="s">
        <v>1927</v>
      </c>
      <c r="W124" s="932" t="s">
        <v>1927</v>
      </c>
      <c r="X124" s="932" t="s">
        <v>2151</v>
      </c>
      <c r="Y124" s="932" t="s">
        <v>1927</v>
      </c>
      <c r="Z124" s="932" t="s">
        <v>2103</v>
      </c>
    </row>
    <row r="125" spans="1:26">
      <c r="A125" s="943" t="s">
        <v>2252</v>
      </c>
      <c r="B125" s="943" t="s">
        <v>2253</v>
      </c>
      <c r="C125" s="944">
        <v>100000</v>
      </c>
      <c r="D125" s="944">
        <v>8333.2999999999993</v>
      </c>
      <c r="E125" s="944">
        <v>8333.2999999999993</v>
      </c>
      <c r="F125" s="944">
        <v>8333.2999999999993</v>
      </c>
      <c r="G125" s="944">
        <v>8333.2999999999993</v>
      </c>
      <c r="H125" s="944">
        <v>8333.2999999999993</v>
      </c>
      <c r="I125" s="944">
        <v>8333.2999999999993</v>
      </c>
      <c r="J125" s="944">
        <v>8333.2999999999993</v>
      </c>
      <c r="K125" s="944">
        <v>8333.2999999999993</v>
      </c>
      <c r="L125" s="944">
        <v>8333.2999999999993</v>
      </c>
      <c r="M125" s="944">
        <v>8333.2999999999993</v>
      </c>
      <c r="N125" s="944">
        <v>8333.2999999999993</v>
      </c>
      <c r="O125" s="944">
        <v>8333.7000000000007</v>
      </c>
      <c r="P125" s="944">
        <v>0</v>
      </c>
      <c r="Q125" s="944">
        <v>0</v>
      </c>
      <c r="R125" s="932" t="s">
        <v>2150</v>
      </c>
      <c r="S125" s="932" t="s">
        <v>1927</v>
      </c>
      <c r="T125" s="932" t="s">
        <v>2105</v>
      </c>
      <c r="U125" s="932" t="s">
        <v>2106</v>
      </c>
      <c r="V125" s="932" t="s">
        <v>1927</v>
      </c>
      <c r="W125" s="932" t="s">
        <v>1927</v>
      </c>
      <c r="X125" s="932" t="s">
        <v>2151</v>
      </c>
      <c r="Y125" s="932" t="s">
        <v>1927</v>
      </c>
      <c r="Z125" s="932" t="s">
        <v>2107</v>
      </c>
    </row>
    <row r="126" spans="1:26">
      <c r="A126" s="943" t="s">
        <v>2254</v>
      </c>
      <c r="B126" s="943" t="s">
        <v>2255</v>
      </c>
      <c r="C126" s="944">
        <v>169</v>
      </c>
      <c r="D126" s="944">
        <v>169</v>
      </c>
      <c r="E126" s="944">
        <v>169</v>
      </c>
      <c r="F126" s="944">
        <v>169</v>
      </c>
      <c r="G126" s="944">
        <v>169</v>
      </c>
      <c r="H126" s="944">
        <v>169</v>
      </c>
      <c r="I126" s="944">
        <v>169</v>
      </c>
      <c r="J126" s="944">
        <v>169</v>
      </c>
      <c r="K126" s="944">
        <v>169</v>
      </c>
      <c r="L126" s="944">
        <v>169</v>
      </c>
      <c r="M126" s="944">
        <v>169</v>
      </c>
      <c r="N126" s="944">
        <v>169</v>
      </c>
      <c r="O126" s="944">
        <v>169</v>
      </c>
      <c r="P126" s="944">
        <v>0</v>
      </c>
      <c r="Q126" s="944">
        <v>0</v>
      </c>
      <c r="R126" s="932" t="s">
        <v>2150</v>
      </c>
      <c r="S126" s="932" t="s">
        <v>1927</v>
      </c>
      <c r="T126" s="932" t="s">
        <v>1927</v>
      </c>
      <c r="U126" s="932" t="s">
        <v>2109</v>
      </c>
      <c r="V126" s="932" t="s">
        <v>1927</v>
      </c>
      <c r="W126" s="932" t="s">
        <v>1927</v>
      </c>
      <c r="X126" s="932" t="s">
        <v>2151</v>
      </c>
      <c r="Y126" s="932" t="s">
        <v>1927</v>
      </c>
      <c r="Z126" s="932" t="s">
        <v>2110</v>
      </c>
    </row>
    <row r="127" spans="1:26">
      <c r="A127" s="943" t="s">
        <v>2256</v>
      </c>
      <c r="B127" s="943" t="s">
        <v>2257</v>
      </c>
      <c r="C127" s="944">
        <v>1</v>
      </c>
      <c r="D127" s="944">
        <v>1</v>
      </c>
      <c r="E127" s="944">
        <v>1</v>
      </c>
      <c r="F127" s="944">
        <v>1</v>
      </c>
      <c r="G127" s="944">
        <v>1</v>
      </c>
      <c r="H127" s="944">
        <v>1</v>
      </c>
      <c r="I127" s="944">
        <v>1</v>
      </c>
      <c r="J127" s="944">
        <v>1</v>
      </c>
      <c r="K127" s="944">
        <v>1</v>
      </c>
      <c r="L127" s="944">
        <v>1</v>
      </c>
      <c r="M127" s="944">
        <v>1</v>
      </c>
      <c r="N127" s="944">
        <v>1</v>
      </c>
      <c r="O127" s="944">
        <v>1</v>
      </c>
      <c r="P127" s="944">
        <v>0</v>
      </c>
      <c r="Q127" s="944">
        <v>0</v>
      </c>
      <c r="R127" s="932" t="s">
        <v>2150</v>
      </c>
      <c r="S127" s="932" t="s">
        <v>1927</v>
      </c>
      <c r="T127" s="932" t="s">
        <v>1927</v>
      </c>
      <c r="U127" s="932" t="s">
        <v>2112</v>
      </c>
      <c r="V127" s="932" t="s">
        <v>1927</v>
      </c>
      <c r="W127" s="932" t="s">
        <v>1927</v>
      </c>
      <c r="X127" s="932" t="s">
        <v>2151</v>
      </c>
      <c r="Y127" s="932" t="s">
        <v>1927</v>
      </c>
      <c r="Z127" s="932" t="s">
        <v>2113</v>
      </c>
    </row>
    <row r="128" spans="1:26">
      <c r="A128" s="943" t="s">
        <v>2258</v>
      </c>
      <c r="B128" s="943" t="s">
        <v>2259</v>
      </c>
      <c r="C128" s="944">
        <v>1</v>
      </c>
      <c r="D128" s="944">
        <v>1</v>
      </c>
      <c r="E128" s="944">
        <v>1</v>
      </c>
      <c r="F128" s="944">
        <v>1</v>
      </c>
      <c r="G128" s="944">
        <v>1</v>
      </c>
      <c r="H128" s="944">
        <v>1</v>
      </c>
      <c r="I128" s="944">
        <v>1</v>
      </c>
      <c r="J128" s="944">
        <v>1</v>
      </c>
      <c r="K128" s="944">
        <v>1</v>
      </c>
      <c r="L128" s="944">
        <v>1</v>
      </c>
      <c r="M128" s="944">
        <v>1</v>
      </c>
      <c r="N128" s="944">
        <v>1</v>
      </c>
      <c r="O128" s="944">
        <v>1</v>
      </c>
      <c r="P128" s="944">
        <v>0</v>
      </c>
      <c r="Q128" s="944">
        <v>0</v>
      </c>
      <c r="R128" s="932" t="s">
        <v>2150</v>
      </c>
      <c r="S128" s="932" t="s">
        <v>1927</v>
      </c>
      <c r="T128" s="932" t="s">
        <v>2115</v>
      </c>
      <c r="U128" s="932" t="s">
        <v>2116</v>
      </c>
      <c r="V128" s="932" t="s">
        <v>1927</v>
      </c>
      <c r="W128" s="932" t="s">
        <v>1927</v>
      </c>
      <c r="X128" s="932" t="s">
        <v>2151</v>
      </c>
      <c r="Y128" s="932" t="s">
        <v>1927</v>
      </c>
      <c r="Z128" s="932" t="s">
        <v>2117</v>
      </c>
    </row>
    <row r="129" spans="1:26">
      <c r="A129" s="943" t="s">
        <v>2260</v>
      </c>
      <c r="B129" s="943" t="s">
        <v>2261</v>
      </c>
      <c r="C129" s="944">
        <v>84</v>
      </c>
      <c r="D129" s="944">
        <v>84</v>
      </c>
      <c r="E129" s="944">
        <v>84</v>
      </c>
      <c r="F129" s="944">
        <v>84</v>
      </c>
      <c r="G129" s="944">
        <v>84</v>
      </c>
      <c r="H129" s="944">
        <v>84</v>
      </c>
      <c r="I129" s="944">
        <v>84</v>
      </c>
      <c r="J129" s="944">
        <v>84</v>
      </c>
      <c r="K129" s="944">
        <v>84</v>
      </c>
      <c r="L129" s="944">
        <v>84</v>
      </c>
      <c r="M129" s="944">
        <v>84</v>
      </c>
      <c r="N129" s="944">
        <v>84</v>
      </c>
      <c r="O129" s="944">
        <v>84</v>
      </c>
      <c r="P129" s="944">
        <v>0</v>
      </c>
      <c r="Q129" s="944">
        <v>0</v>
      </c>
      <c r="R129" s="932" t="s">
        <v>2150</v>
      </c>
      <c r="S129" s="932" t="s">
        <v>1927</v>
      </c>
      <c r="T129" s="932" t="s">
        <v>1927</v>
      </c>
      <c r="U129" s="932" t="s">
        <v>2119</v>
      </c>
      <c r="V129" s="932" t="s">
        <v>1927</v>
      </c>
      <c r="W129" s="932" t="s">
        <v>1927</v>
      </c>
      <c r="X129" s="932" t="s">
        <v>2151</v>
      </c>
      <c r="Y129" s="932" t="s">
        <v>1927</v>
      </c>
      <c r="Z129" s="932" t="s">
        <v>2120</v>
      </c>
    </row>
    <row r="130" spans="1:26">
      <c r="A130" s="943" t="s">
        <v>2262</v>
      </c>
      <c r="B130" s="943" t="s">
        <v>2263</v>
      </c>
      <c r="C130" s="944">
        <v>2</v>
      </c>
      <c r="D130" s="944">
        <v>2</v>
      </c>
      <c r="E130" s="944">
        <v>2</v>
      </c>
      <c r="F130" s="944">
        <v>2</v>
      </c>
      <c r="G130" s="944">
        <v>2</v>
      </c>
      <c r="H130" s="944">
        <v>2</v>
      </c>
      <c r="I130" s="944">
        <v>2</v>
      </c>
      <c r="J130" s="944">
        <v>2</v>
      </c>
      <c r="K130" s="944">
        <v>2</v>
      </c>
      <c r="L130" s="944">
        <v>2</v>
      </c>
      <c r="M130" s="944">
        <v>2</v>
      </c>
      <c r="N130" s="944">
        <v>2</v>
      </c>
      <c r="O130" s="944">
        <v>2</v>
      </c>
      <c r="P130" s="944">
        <v>0</v>
      </c>
      <c r="Q130" s="944">
        <v>0</v>
      </c>
      <c r="R130" s="932" t="s">
        <v>2150</v>
      </c>
      <c r="S130" s="932" t="s">
        <v>1927</v>
      </c>
      <c r="T130" s="932" t="s">
        <v>2122</v>
      </c>
      <c r="U130" s="932" t="s">
        <v>2123</v>
      </c>
      <c r="V130" s="932" t="s">
        <v>1927</v>
      </c>
      <c r="W130" s="932" t="s">
        <v>1927</v>
      </c>
      <c r="X130" s="932" t="s">
        <v>2151</v>
      </c>
      <c r="Y130" s="932" t="s">
        <v>1927</v>
      </c>
      <c r="Z130" s="932" t="s">
        <v>2124</v>
      </c>
    </row>
    <row r="131" spans="1:26">
      <c r="A131" s="943" t="s">
        <v>2264</v>
      </c>
      <c r="B131" s="943" t="s">
        <v>2265</v>
      </c>
      <c r="C131" s="944">
        <v>70</v>
      </c>
      <c r="D131" s="944">
        <v>70</v>
      </c>
      <c r="E131" s="944">
        <v>70</v>
      </c>
      <c r="F131" s="944">
        <v>70</v>
      </c>
      <c r="G131" s="944">
        <v>70</v>
      </c>
      <c r="H131" s="944">
        <v>70</v>
      </c>
      <c r="I131" s="944">
        <v>70</v>
      </c>
      <c r="J131" s="944">
        <v>70</v>
      </c>
      <c r="K131" s="944">
        <v>70</v>
      </c>
      <c r="L131" s="944">
        <v>70</v>
      </c>
      <c r="M131" s="944">
        <v>70</v>
      </c>
      <c r="N131" s="944">
        <v>70</v>
      </c>
      <c r="O131" s="944">
        <v>70</v>
      </c>
      <c r="P131" s="944">
        <v>0</v>
      </c>
      <c r="Q131" s="944">
        <v>0</v>
      </c>
      <c r="R131" s="932" t="s">
        <v>2150</v>
      </c>
      <c r="S131" s="932" t="s">
        <v>1927</v>
      </c>
      <c r="T131" s="932" t="s">
        <v>2126</v>
      </c>
      <c r="U131" s="932" t="s">
        <v>2127</v>
      </c>
      <c r="V131" s="932" t="s">
        <v>1927</v>
      </c>
      <c r="W131" s="932" t="s">
        <v>1927</v>
      </c>
      <c r="X131" s="932" t="s">
        <v>2151</v>
      </c>
      <c r="Y131" s="932" t="s">
        <v>1927</v>
      </c>
      <c r="Z131" s="932" t="s">
        <v>2128</v>
      </c>
    </row>
    <row r="132" spans="1:26">
      <c r="A132" s="943" t="s">
        <v>2266</v>
      </c>
      <c r="B132" s="943" t="s">
        <v>2267</v>
      </c>
      <c r="C132" s="944">
        <v>12</v>
      </c>
      <c r="D132" s="944">
        <v>12</v>
      </c>
      <c r="E132" s="944">
        <v>12</v>
      </c>
      <c r="F132" s="944">
        <v>12</v>
      </c>
      <c r="G132" s="944">
        <v>12</v>
      </c>
      <c r="H132" s="944">
        <v>12</v>
      </c>
      <c r="I132" s="944">
        <v>12</v>
      </c>
      <c r="J132" s="944">
        <v>12</v>
      </c>
      <c r="K132" s="944">
        <v>12</v>
      </c>
      <c r="L132" s="944">
        <v>12</v>
      </c>
      <c r="M132" s="944">
        <v>12</v>
      </c>
      <c r="N132" s="944">
        <v>12</v>
      </c>
      <c r="O132" s="944">
        <v>12</v>
      </c>
      <c r="P132" s="944">
        <v>0</v>
      </c>
      <c r="Q132" s="944">
        <v>0</v>
      </c>
      <c r="R132" s="932" t="s">
        <v>2150</v>
      </c>
      <c r="S132" s="932" t="s">
        <v>1927</v>
      </c>
      <c r="T132" s="932" t="s">
        <v>2130</v>
      </c>
      <c r="U132" s="932" t="s">
        <v>2131</v>
      </c>
      <c r="V132" s="932" t="s">
        <v>1927</v>
      </c>
      <c r="W132" s="932" t="s">
        <v>1927</v>
      </c>
      <c r="X132" s="932" t="s">
        <v>2151</v>
      </c>
      <c r="Y132" s="932" t="s">
        <v>1927</v>
      </c>
      <c r="Z132" s="932" t="s">
        <v>2132</v>
      </c>
    </row>
    <row r="133" spans="1:26">
      <c r="A133" s="943" t="s">
        <v>2268</v>
      </c>
      <c r="B133" s="943" t="s">
        <v>2269</v>
      </c>
      <c r="C133" s="944">
        <v>84</v>
      </c>
      <c r="D133" s="944">
        <v>84</v>
      </c>
      <c r="E133" s="944">
        <v>84</v>
      </c>
      <c r="F133" s="944">
        <v>84</v>
      </c>
      <c r="G133" s="944">
        <v>84</v>
      </c>
      <c r="H133" s="944">
        <v>84</v>
      </c>
      <c r="I133" s="944">
        <v>84</v>
      </c>
      <c r="J133" s="944">
        <v>84</v>
      </c>
      <c r="K133" s="944">
        <v>84</v>
      </c>
      <c r="L133" s="944">
        <v>84</v>
      </c>
      <c r="M133" s="944">
        <v>84</v>
      </c>
      <c r="N133" s="944">
        <v>84</v>
      </c>
      <c r="O133" s="944">
        <v>84</v>
      </c>
      <c r="P133" s="944">
        <v>0</v>
      </c>
      <c r="Q133" s="944">
        <v>0</v>
      </c>
      <c r="R133" s="932" t="s">
        <v>2150</v>
      </c>
      <c r="S133" s="932" t="s">
        <v>1927</v>
      </c>
      <c r="T133" s="932" t="s">
        <v>1927</v>
      </c>
      <c r="U133" s="932" t="s">
        <v>2134</v>
      </c>
      <c r="V133" s="932" t="s">
        <v>1927</v>
      </c>
      <c r="W133" s="932" t="s">
        <v>1927</v>
      </c>
      <c r="X133" s="932" t="s">
        <v>2151</v>
      </c>
      <c r="Y133" s="932" t="s">
        <v>1927</v>
      </c>
      <c r="Z133" s="932" t="s">
        <v>2135</v>
      </c>
    </row>
    <row r="134" spans="1:26">
      <c r="A134" s="943" t="s">
        <v>2270</v>
      </c>
      <c r="B134" s="943" t="s">
        <v>2271</v>
      </c>
      <c r="C134" s="944">
        <v>7</v>
      </c>
      <c r="D134" s="944">
        <v>7</v>
      </c>
      <c r="E134" s="944">
        <v>7</v>
      </c>
      <c r="F134" s="944">
        <v>7</v>
      </c>
      <c r="G134" s="944">
        <v>7</v>
      </c>
      <c r="H134" s="944">
        <v>7</v>
      </c>
      <c r="I134" s="944">
        <v>7</v>
      </c>
      <c r="J134" s="944">
        <v>7</v>
      </c>
      <c r="K134" s="944">
        <v>7</v>
      </c>
      <c r="L134" s="944">
        <v>7</v>
      </c>
      <c r="M134" s="944">
        <v>7</v>
      </c>
      <c r="N134" s="944">
        <v>7</v>
      </c>
      <c r="O134" s="944">
        <v>7</v>
      </c>
      <c r="P134" s="944">
        <v>0</v>
      </c>
      <c r="Q134" s="944">
        <v>0</v>
      </c>
      <c r="R134" s="932" t="s">
        <v>2150</v>
      </c>
      <c r="S134" s="932" t="s">
        <v>1927</v>
      </c>
      <c r="T134" s="932" t="s">
        <v>2137</v>
      </c>
      <c r="U134" s="932" t="s">
        <v>2138</v>
      </c>
      <c r="V134" s="932" t="s">
        <v>1927</v>
      </c>
      <c r="W134" s="932" t="s">
        <v>1927</v>
      </c>
      <c r="X134" s="932" t="s">
        <v>2151</v>
      </c>
      <c r="Y134" s="932" t="s">
        <v>1927</v>
      </c>
      <c r="Z134" s="932" t="s">
        <v>2139</v>
      </c>
    </row>
    <row r="135" spans="1:26">
      <c r="A135" s="943" t="s">
        <v>2272</v>
      </c>
      <c r="B135" s="943" t="s">
        <v>2273</v>
      </c>
      <c r="C135" s="944">
        <v>1</v>
      </c>
      <c r="D135" s="944">
        <v>1</v>
      </c>
      <c r="E135" s="944">
        <v>1</v>
      </c>
      <c r="F135" s="944">
        <v>1</v>
      </c>
      <c r="G135" s="944">
        <v>1</v>
      </c>
      <c r="H135" s="944">
        <v>1</v>
      </c>
      <c r="I135" s="944">
        <v>1</v>
      </c>
      <c r="J135" s="944">
        <v>1</v>
      </c>
      <c r="K135" s="944">
        <v>1</v>
      </c>
      <c r="L135" s="944">
        <v>1</v>
      </c>
      <c r="M135" s="944">
        <v>1</v>
      </c>
      <c r="N135" s="944">
        <v>1</v>
      </c>
      <c r="O135" s="944">
        <v>1</v>
      </c>
      <c r="P135" s="944">
        <v>0</v>
      </c>
      <c r="Q135" s="944">
        <v>0</v>
      </c>
      <c r="R135" s="932" t="s">
        <v>2150</v>
      </c>
      <c r="S135" s="932" t="s">
        <v>1927</v>
      </c>
      <c r="T135" s="932" t="s">
        <v>2141</v>
      </c>
      <c r="U135" s="932" t="s">
        <v>2142</v>
      </c>
      <c r="V135" s="932" t="s">
        <v>1927</v>
      </c>
      <c r="W135" s="932" t="s">
        <v>1927</v>
      </c>
      <c r="X135" s="932" t="s">
        <v>2151</v>
      </c>
      <c r="Y135" s="932" t="s">
        <v>1927</v>
      </c>
      <c r="Z135" s="932" t="s">
        <v>2143</v>
      </c>
    </row>
    <row r="136" spans="1:26">
      <c r="A136" s="943" t="s">
        <v>2274</v>
      </c>
      <c r="B136" s="943" t="s">
        <v>2275</v>
      </c>
      <c r="C136" s="944">
        <v>76</v>
      </c>
      <c r="D136" s="944">
        <v>76</v>
      </c>
      <c r="E136" s="944">
        <v>76</v>
      </c>
      <c r="F136" s="944">
        <v>76</v>
      </c>
      <c r="G136" s="944">
        <v>76</v>
      </c>
      <c r="H136" s="944">
        <v>76</v>
      </c>
      <c r="I136" s="944">
        <v>76</v>
      </c>
      <c r="J136" s="944">
        <v>76</v>
      </c>
      <c r="K136" s="944">
        <v>76</v>
      </c>
      <c r="L136" s="944">
        <v>76</v>
      </c>
      <c r="M136" s="944">
        <v>76</v>
      </c>
      <c r="N136" s="944">
        <v>76</v>
      </c>
      <c r="O136" s="944">
        <v>76</v>
      </c>
      <c r="P136" s="944">
        <v>0</v>
      </c>
      <c r="Q136" s="944">
        <v>0</v>
      </c>
      <c r="R136" s="932" t="s">
        <v>2150</v>
      </c>
      <c r="S136" s="932" t="s">
        <v>1927</v>
      </c>
      <c r="T136" s="932" t="s">
        <v>2145</v>
      </c>
      <c r="U136" s="932" t="s">
        <v>2146</v>
      </c>
      <c r="V136" s="932" t="s">
        <v>1927</v>
      </c>
      <c r="W136" s="932" t="s">
        <v>1927</v>
      </c>
      <c r="X136" s="932" t="s">
        <v>2151</v>
      </c>
      <c r="Y136" s="932" t="s">
        <v>1927</v>
      </c>
      <c r="Z136" s="932" t="s">
        <v>2147</v>
      </c>
    </row>
    <row r="137" spans="1:26">
      <c r="A137" s="943" t="s">
        <v>2276</v>
      </c>
      <c r="B137" s="943" t="s">
        <v>2277</v>
      </c>
      <c r="C137" s="944">
        <v>4500885.8</v>
      </c>
      <c r="D137" s="944">
        <v>361103.6</v>
      </c>
      <c r="E137" s="944">
        <v>464665.4</v>
      </c>
      <c r="F137" s="944">
        <v>375417.1</v>
      </c>
      <c r="G137" s="944">
        <v>321819.3</v>
      </c>
      <c r="H137" s="944">
        <v>365470.5</v>
      </c>
      <c r="I137" s="944">
        <v>391923.4</v>
      </c>
      <c r="J137" s="944">
        <v>362400.9</v>
      </c>
      <c r="K137" s="944">
        <v>349795.2</v>
      </c>
      <c r="L137" s="944">
        <v>362301.2</v>
      </c>
      <c r="M137" s="944">
        <v>370293.9</v>
      </c>
      <c r="N137" s="944">
        <v>358751.4</v>
      </c>
      <c r="O137" s="944">
        <v>416943.9</v>
      </c>
      <c r="P137" s="944">
        <v>0</v>
      </c>
      <c r="Q137" s="944">
        <v>0</v>
      </c>
      <c r="R137" s="932" t="s">
        <v>2150</v>
      </c>
      <c r="S137" s="932" t="s">
        <v>2278</v>
      </c>
      <c r="T137" s="932" t="s">
        <v>1927</v>
      </c>
      <c r="U137" s="932" t="s">
        <v>1927</v>
      </c>
      <c r="V137" s="932" t="s">
        <v>1927</v>
      </c>
      <c r="W137" s="932" t="s">
        <v>1927</v>
      </c>
      <c r="X137" s="932" t="s">
        <v>2151</v>
      </c>
      <c r="Y137" s="932" t="s">
        <v>2279</v>
      </c>
      <c r="Z137" s="932" t="s">
        <v>1927</v>
      </c>
    </row>
    <row r="138" spans="1:26">
      <c r="A138" s="943" t="s">
        <v>2280</v>
      </c>
      <c r="B138" s="943" t="s">
        <v>2281</v>
      </c>
      <c r="C138" s="944">
        <v>4500885.8</v>
      </c>
      <c r="D138" s="944">
        <v>361103.6</v>
      </c>
      <c r="E138" s="944">
        <v>464665.4</v>
      </c>
      <c r="F138" s="944">
        <v>375417.1</v>
      </c>
      <c r="G138" s="944">
        <v>321819.3</v>
      </c>
      <c r="H138" s="944">
        <v>365470.5</v>
      </c>
      <c r="I138" s="944">
        <v>391923.4</v>
      </c>
      <c r="J138" s="944">
        <v>362400.9</v>
      </c>
      <c r="K138" s="944">
        <v>349795.2</v>
      </c>
      <c r="L138" s="944">
        <v>362301.2</v>
      </c>
      <c r="M138" s="944">
        <v>370293.9</v>
      </c>
      <c r="N138" s="944">
        <v>358751.4</v>
      </c>
      <c r="O138" s="944">
        <v>416943.9</v>
      </c>
      <c r="P138" s="944">
        <v>0</v>
      </c>
      <c r="Q138" s="944">
        <v>0</v>
      </c>
      <c r="R138" s="932" t="s">
        <v>2150</v>
      </c>
      <c r="S138" s="932" t="s">
        <v>2278</v>
      </c>
      <c r="T138" s="932" t="s">
        <v>1927</v>
      </c>
      <c r="U138" s="932" t="s">
        <v>1929</v>
      </c>
      <c r="V138" s="932" t="s">
        <v>1927</v>
      </c>
      <c r="W138" s="932" t="s">
        <v>1927</v>
      </c>
      <c r="X138" s="932" t="s">
        <v>2151</v>
      </c>
      <c r="Y138" s="932" t="s">
        <v>2279</v>
      </c>
      <c r="Z138" s="932" t="s">
        <v>1930</v>
      </c>
    </row>
    <row r="139" spans="1:26">
      <c r="A139" s="943" t="s">
        <v>2282</v>
      </c>
      <c r="B139" s="943" t="s">
        <v>2283</v>
      </c>
      <c r="C139" s="944">
        <v>4500885.8</v>
      </c>
      <c r="D139" s="944">
        <v>361103.6</v>
      </c>
      <c r="E139" s="944">
        <v>464665.4</v>
      </c>
      <c r="F139" s="944">
        <v>375417.1</v>
      </c>
      <c r="G139" s="944">
        <v>321819.3</v>
      </c>
      <c r="H139" s="944">
        <v>365470.5</v>
      </c>
      <c r="I139" s="944">
        <v>391923.4</v>
      </c>
      <c r="J139" s="944">
        <v>362400.9</v>
      </c>
      <c r="K139" s="944">
        <v>349795.2</v>
      </c>
      <c r="L139" s="944">
        <v>362301.2</v>
      </c>
      <c r="M139" s="944">
        <v>370293.9</v>
      </c>
      <c r="N139" s="944">
        <v>358751.4</v>
      </c>
      <c r="O139" s="944">
        <v>416943.9</v>
      </c>
      <c r="P139" s="944">
        <v>0</v>
      </c>
      <c r="Q139" s="944">
        <v>0</v>
      </c>
      <c r="R139" s="932" t="s">
        <v>2150</v>
      </c>
      <c r="S139" s="932" t="s">
        <v>2278</v>
      </c>
      <c r="T139" s="932" t="s">
        <v>1927</v>
      </c>
      <c r="U139" s="932" t="s">
        <v>1932</v>
      </c>
      <c r="V139" s="932" t="s">
        <v>1927</v>
      </c>
      <c r="W139" s="932" t="s">
        <v>1927</v>
      </c>
      <c r="X139" s="932" t="s">
        <v>2151</v>
      </c>
      <c r="Y139" s="932" t="s">
        <v>2279</v>
      </c>
      <c r="Z139" s="932" t="s">
        <v>1933</v>
      </c>
    </row>
    <row r="140" spans="1:26">
      <c r="A140" s="943" t="s">
        <v>2284</v>
      </c>
      <c r="B140" s="943" t="s">
        <v>2285</v>
      </c>
      <c r="C140" s="944">
        <v>4469185.8</v>
      </c>
      <c r="D140" s="944">
        <v>361103.6</v>
      </c>
      <c r="E140" s="944">
        <v>464665.4</v>
      </c>
      <c r="F140" s="944">
        <v>375417.1</v>
      </c>
      <c r="G140" s="944">
        <v>321819.3</v>
      </c>
      <c r="H140" s="944">
        <v>357470.5</v>
      </c>
      <c r="I140" s="944">
        <v>391923.4</v>
      </c>
      <c r="J140" s="944">
        <v>362400.9</v>
      </c>
      <c r="K140" s="944">
        <v>349795.2</v>
      </c>
      <c r="L140" s="944">
        <v>362301.2</v>
      </c>
      <c r="M140" s="944">
        <v>370293.9</v>
      </c>
      <c r="N140" s="944">
        <v>358751.4</v>
      </c>
      <c r="O140" s="944">
        <v>393243.9</v>
      </c>
      <c r="P140" s="944">
        <v>0</v>
      </c>
      <c r="Q140" s="944">
        <v>0</v>
      </c>
      <c r="R140" s="932" t="s">
        <v>2150</v>
      </c>
      <c r="S140" s="932" t="s">
        <v>2278</v>
      </c>
      <c r="T140" s="932" t="s">
        <v>1927</v>
      </c>
      <c r="U140" s="932" t="s">
        <v>1935</v>
      </c>
      <c r="V140" s="932" t="s">
        <v>1927</v>
      </c>
      <c r="W140" s="932" t="s">
        <v>1927</v>
      </c>
      <c r="X140" s="932" t="s">
        <v>2151</v>
      </c>
      <c r="Y140" s="932" t="s">
        <v>2279</v>
      </c>
      <c r="Z140" s="932" t="s">
        <v>1936</v>
      </c>
    </row>
    <row r="141" spans="1:26">
      <c r="A141" s="943" t="s">
        <v>2286</v>
      </c>
      <c r="B141" s="943" t="s">
        <v>2287</v>
      </c>
      <c r="C141" s="944">
        <v>822062.2</v>
      </c>
      <c r="D141" s="944">
        <v>62988.6</v>
      </c>
      <c r="E141" s="944">
        <v>64388.6</v>
      </c>
      <c r="F141" s="944">
        <v>64388.6</v>
      </c>
      <c r="G141" s="944">
        <v>64388.6</v>
      </c>
      <c r="H141" s="944">
        <v>64388.6</v>
      </c>
      <c r="I141" s="944">
        <v>76388.600000000006</v>
      </c>
      <c r="J141" s="944">
        <v>68388.600000000006</v>
      </c>
      <c r="K141" s="944">
        <v>68388.600000000006</v>
      </c>
      <c r="L141" s="944">
        <v>64388.6</v>
      </c>
      <c r="M141" s="944">
        <v>64388.6</v>
      </c>
      <c r="N141" s="944">
        <v>64388.6</v>
      </c>
      <c r="O141" s="944">
        <v>95187.6</v>
      </c>
      <c r="P141" s="944">
        <v>0</v>
      </c>
      <c r="Q141" s="944">
        <v>0</v>
      </c>
      <c r="R141" s="932" t="s">
        <v>2150</v>
      </c>
      <c r="S141" s="932" t="s">
        <v>2278</v>
      </c>
      <c r="T141" s="932" t="s">
        <v>1927</v>
      </c>
      <c r="U141" s="932" t="s">
        <v>1938</v>
      </c>
      <c r="V141" s="932" t="s">
        <v>1927</v>
      </c>
      <c r="W141" s="932" t="s">
        <v>1927</v>
      </c>
      <c r="X141" s="932" t="s">
        <v>2151</v>
      </c>
      <c r="Y141" s="932" t="s">
        <v>2279</v>
      </c>
      <c r="Z141" s="932" t="s">
        <v>1939</v>
      </c>
    </row>
    <row r="142" spans="1:26">
      <c r="A142" s="943" t="s">
        <v>2288</v>
      </c>
      <c r="B142" s="943" t="s">
        <v>2289</v>
      </c>
      <c r="C142" s="944">
        <v>638064.19999999995</v>
      </c>
      <c r="D142" s="944">
        <v>47655.4</v>
      </c>
      <c r="E142" s="944">
        <v>49055.4</v>
      </c>
      <c r="F142" s="944">
        <v>49055.4</v>
      </c>
      <c r="G142" s="944">
        <v>49055.4</v>
      </c>
      <c r="H142" s="944">
        <v>49055.4</v>
      </c>
      <c r="I142" s="944">
        <v>61055.4</v>
      </c>
      <c r="J142" s="944">
        <v>53055.4</v>
      </c>
      <c r="K142" s="944">
        <v>53055.4</v>
      </c>
      <c r="L142" s="944">
        <v>49055.4</v>
      </c>
      <c r="M142" s="944">
        <v>49055.4</v>
      </c>
      <c r="N142" s="944">
        <v>49055.4</v>
      </c>
      <c r="O142" s="944">
        <v>79854.8</v>
      </c>
      <c r="P142" s="944">
        <v>0</v>
      </c>
      <c r="Q142" s="944">
        <v>0</v>
      </c>
      <c r="R142" s="932" t="s">
        <v>2150</v>
      </c>
      <c r="S142" s="932" t="s">
        <v>2278</v>
      </c>
      <c r="T142" s="932" t="s">
        <v>1941</v>
      </c>
      <c r="U142" s="932" t="s">
        <v>1942</v>
      </c>
      <c r="V142" s="932" t="s">
        <v>1927</v>
      </c>
      <c r="W142" s="932" t="s">
        <v>1927</v>
      </c>
      <c r="X142" s="932" t="s">
        <v>2151</v>
      </c>
      <c r="Y142" s="932" t="s">
        <v>2279</v>
      </c>
      <c r="Z142" s="932" t="s">
        <v>1943</v>
      </c>
    </row>
    <row r="143" spans="1:26">
      <c r="A143" s="943" t="s">
        <v>2290</v>
      </c>
      <c r="B143" s="943" t="s">
        <v>2291</v>
      </c>
      <c r="C143" s="944">
        <v>83189.399999999994</v>
      </c>
      <c r="D143" s="944">
        <v>6932.5</v>
      </c>
      <c r="E143" s="944">
        <v>6932.5</v>
      </c>
      <c r="F143" s="944">
        <v>6932.5</v>
      </c>
      <c r="G143" s="944">
        <v>6932.5</v>
      </c>
      <c r="H143" s="944">
        <v>6932.5</v>
      </c>
      <c r="I143" s="944">
        <v>6932.5</v>
      </c>
      <c r="J143" s="944">
        <v>6932.5</v>
      </c>
      <c r="K143" s="944">
        <v>6932.5</v>
      </c>
      <c r="L143" s="944">
        <v>6932.5</v>
      </c>
      <c r="M143" s="944">
        <v>6932.5</v>
      </c>
      <c r="N143" s="944">
        <v>6932.5</v>
      </c>
      <c r="O143" s="944">
        <v>6931.9</v>
      </c>
      <c r="P143" s="944">
        <v>0</v>
      </c>
      <c r="Q143" s="944">
        <v>0</v>
      </c>
      <c r="R143" s="932" t="s">
        <v>2150</v>
      </c>
      <c r="S143" s="932" t="s">
        <v>2278</v>
      </c>
      <c r="T143" s="932" t="s">
        <v>1945</v>
      </c>
      <c r="U143" s="932" t="s">
        <v>1946</v>
      </c>
      <c r="V143" s="932" t="s">
        <v>1927</v>
      </c>
      <c r="W143" s="932" t="s">
        <v>1927</v>
      </c>
      <c r="X143" s="932" t="s">
        <v>2151</v>
      </c>
      <c r="Y143" s="932" t="s">
        <v>2279</v>
      </c>
      <c r="Z143" s="932" t="s">
        <v>942</v>
      </c>
    </row>
    <row r="144" spans="1:26">
      <c r="A144" s="943" t="s">
        <v>2292</v>
      </c>
      <c r="B144" s="943" t="s">
        <v>2293</v>
      </c>
      <c r="C144" s="944">
        <v>100808.6</v>
      </c>
      <c r="D144" s="944">
        <v>8400.7000000000007</v>
      </c>
      <c r="E144" s="944">
        <v>8400.7000000000007</v>
      </c>
      <c r="F144" s="944">
        <v>8400.7000000000007</v>
      </c>
      <c r="G144" s="944">
        <v>8400.7000000000007</v>
      </c>
      <c r="H144" s="944">
        <v>8400.7000000000007</v>
      </c>
      <c r="I144" s="944">
        <v>8400.7000000000007</v>
      </c>
      <c r="J144" s="944">
        <v>8400.7000000000007</v>
      </c>
      <c r="K144" s="944">
        <v>8400.7000000000007</v>
      </c>
      <c r="L144" s="944">
        <v>8400.7000000000007</v>
      </c>
      <c r="M144" s="944">
        <v>8400.7000000000007</v>
      </c>
      <c r="N144" s="944">
        <v>8400.7000000000007</v>
      </c>
      <c r="O144" s="944">
        <v>8400.9</v>
      </c>
      <c r="P144" s="944">
        <v>0</v>
      </c>
      <c r="Q144" s="944">
        <v>0</v>
      </c>
      <c r="R144" s="932" t="s">
        <v>2150</v>
      </c>
      <c r="S144" s="932" t="s">
        <v>2278</v>
      </c>
      <c r="T144" s="932" t="s">
        <v>1948</v>
      </c>
      <c r="U144" s="932" t="s">
        <v>1949</v>
      </c>
      <c r="V144" s="932" t="s">
        <v>1927</v>
      </c>
      <c r="W144" s="932" t="s">
        <v>1927</v>
      </c>
      <c r="X144" s="932" t="s">
        <v>2151</v>
      </c>
      <c r="Y144" s="932" t="s">
        <v>2279</v>
      </c>
      <c r="Z144" s="932" t="s">
        <v>1950</v>
      </c>
    </row>
    <row r="145" spans="1:26">
      <c r="A145" s="943" t="s">
        <v>2294</v>
      </c>
      <c r="B145" s="943" t="s">
        <v>2295</v>
      </c>
      <c r="C145" s="944">
        <v>98647.4</v>
      </c>
      <c r="D145" s="944">
        <v>7558.7</v>
      </c>
      <c r="E145" s="944">
        <v>7726.7</v>
      </c>
      <c r="F145" s="944">
        <v>7726.7</v>
      </c>
      <c r="G145" s="944">
        <v>7726.7</v>
      </c>
      <c r="H145" s="944">
        <v>7726.7</v>
      </c>
      <c r="I145" s="944">
        <v>9166.7000000000007</v>
      </c>
      <c r="J145" s="944">
        <v>8206.7000000000007</v>
      </c>
      <c r="K145" s="944">
        <v>8206.7000000000007</v>
      </c>
      <c r="L145" s="944">
        <v>7726.7</v>
      </c>
      <c r="M145" s="944">
        <v>7726.7</v>
      </c>
      <c r="N145" s="944">
        <v>7726.7</v>
      </c>
      <c r="O145" s="944">
        <v>11421.7</v>
      </c>
      <c r="P145" s="944">
        <v>0</v>
      </c>
      <c r="Q145" s="944">
        <v>0</v>
      </c>
      <c r="R145" s="932" t="s">
        <v>2150</v>
      </c>
      <c r="S145" s="932" t="s">
        <v>2278</v>
      </c>
      <c r="T145" s="932" t="s">
        <v>1927</v>
      </c>
      <c r="U145" s="932" t="s">
        <v>1952</v>
      </c>
      <c r="V145" s="932" t="s">
        <v>1927</v>
      </c>
      <c r="W145" s="932" t="s">
        <v>1927</v>
      </c>
      <c r="X145" s="932" t="s">
        <v>2151</v>
      </c>
      <c r="Y145" s="932" t="s">
        <v>2279</v>
      </c>
      <c r="Z145" s="932" t="s">
        <v>1953</v>
      </c>
    </row>
    <row r="146" spans="1:26">
      <c r="A146" s="943" t="s">
        <v>2296</v>
      </c>
      <c r="B146" s="943" t="s">
        <v>2297</v>
      </c>
      <c r="C146" s="944">
        <v>65765</v>
      </c>
      <c r="D146" s="944">
        <v>5039.1000000000004</v>
      </c>
      <c r="E146" s="944">
        <v>5151.1000000000004</v>
      </c>
      <c r="F146" s="944">
        <v>5151.1000000000004</v>
      </c>
      <c r="G146" s="944">
        <v>5151.1000000000004</v>
      </c>
      <c r="H146" s="944">
        <v>5151.1000000000004</v>
      </c>
      <c r="I146" s="944">
        <v>6111.1</v>
      </c>
      <c r="J146" s="944">
        <v>5471.1</v>
      </c>
      <c r="K146" s="944">
        <v>5471.1</v>
      </c>
      <c r="L146" s="944">
        <v>5151.1000000000004</v>
      </c>
      <c r="M146" s="944">
        <v>5151.1000000000004</v>
      </c>
      <c r="N146" s="944">
        <v>5151.1000000000004</v>
      </c>
      <c r="O146" s="944">
        <v>7614.9</v>
      </c>
      <c r="P146" s="944">
        <v>0</v>
      </c>
      <c r="Q146" s="944">
        <v>0</v>
      </c>
      <c r="R146" s="932" t="s">
        <v>2150</v>
      </c>
      <c r="S146" s="932" t="s">
        <v>2278</v>
      </c>
      <c r="T146" s="932" t="s">
        <v>1955</v>
      </c>
      <c r="U146" s="932" t="s">
        <v>1956</v>
      </c>
      <c r="V146" s="932" t="s">
        <v>1927</v>
      </c>
      <c r="W146" s="932" t="s">
        <v>1927</v>
      </c>
      <c r="X146" s="932" t="s">
        <v>2151</v>
      </c>
      <c r="Y146" s="932" t="s">
        <v>2279</v>
      </c>
      <c r="Z146" s="932" t="s">
        <v>1957</v>
      </c>
    </row>
    <row r="147" spans="1:26">
      <c r="A147" s="943" t="s">
        <v>2298</v>
      </c>
      <c r="B147" s="943" t="s">
        <v>2299</v>
      </c>
      <c r="C147" s="944">
        <v>8220.6</v>
      </c>
      <c r="D147" s="944">
        <v>629.9</v>
      </c>
      <c r="E147" s="944">
        <v>643.9</v>
      </c>
      <c r="F147" s="944">
        <v>643.9</v>
      </c>
      <c r="G147" s="944">
        <v>643.9</v>
      </c>
      <c r="H147" s="944">
        <v>643.9</v>
      </c>
      <c r="I147" s="944">
        <v>763.9</v>
      </c>
      <c r="J147" s="944">
        <v>683.9</v>
      </c>
      <c r="K147" s="944">
        <v>683.9</v>
      </c>
      <c r="L147" s="944">
        <v>643.9</v>
      </c>
      <c r="M147" s="944">
        <v>643.9</v>
      </c>
      <c r="N147" s="944">
        <v>643.9</v>
      </c>
      <c r="O147" s="944">
        <v>951.7</v>
      </c>
      <c r="P147" s="944">
        <v>0</v>
      </c>
      <c r="Q147" s="944">
        <v>0</v>
      </c>
      <c r="R147" s="932" t="s">
        <v>2150</v>
      </c>
      <c r="S147" s="932" t="s">
        <v>2278</v>
      </c>
      <c r="T147" s="932" t="s">
        <v>1959</v>
      </c>
      <c r="U147" s="932" t="s">
        <v>1960</v>
      </c>
      <c r="V147" s="932" t="s">
        <v>1927</v>
      </c>
      <c r="W147" s="932" t="s">
        <v>1927</v>
      </c>
      <c r="X147" s="932" t="s">
        <v>2151</v>
      </c>
      <c r="Y147" s="932" t="s">
        <v>2279</v>
      </c>
      <c r="Z147" s="932" t="s">
        <v>1961</v>
      </c>
    </row>
    <row r="148" spans="1:26">
      <c r="A148" s="943" t="s">
        <v>2300</v>
      </c>
      <c r="B148" s="943" t="s">
        <v>2301</v>
      </c>
      <c r="C148" s="944">
        <v>6576.5</v>
      </c>
      <c r="D148" s="944">
        <v>503.9</v>
      </c>
      <c r="E148" s="944">
        <v>515.1</v>
      </c>
      <c r="F148" s="944">
        <v>515.1</v>
      </c>
      <c r="G148" s="944">
        <v>515.1</v>
      </c>
      <c r="H148" s="944">
        <v>515.1</v>
      </c>
      <c r="I148" s="944">
        <v>611.1</v>
      </c>
      <c r="J148" s="944">
        <v>547.1</v>
      </c>
      <c r="K148" s="944">
        <v>547.1</v>
      </c>
      <c r="L148" s="944">
        <v>515.1</v>
      </c>
      <c r="M148" s="944">
        <v>515.1</v>
      </c>
      <c r="N148" s="944">
        <v>515.1</v>
      </c>
      <c r="O148" s="944">
        <v>761.6</v>
      </c>
      <c r="P148" s="944">
        <v>0</v>
      </c>
      <c r="Q148" s="944">
        <v>0</v>
      </c>
      <c r="R148" s="932" t="s">
        <v>2150</v>
      </c>
      <c r="S148" s="932" t="s">
        <v>2278</v>
      </c>
      <c r="T148" s="932" t="s">
        <v>1963</v>
      </c>
      <c r="U148" s="932" t="s">
        <v>1964</v>
      </c>
      <c r="V148" s="932" t="s">
        <v>1927</v>
      </c>
      <c r="W148" s="932" t="s">
        <v>1927</v>
      </c>
      <c r="X148" s="932" t="s">
        <v>2151</v>
      </c>
      <c r="Y148" s="932" t="s">
        <v>2279</v>
      </c>
      <c r="Z148" s="932" t="s">
        <v>1965</v>
      </c>
    </row>
    <row r="149" spans="1:26">
      <c r="A149" s="943" t="s">
        <v>2302</v>
      </c>
      <c r="B149" s="943" t="s">
        <v>2303</v>
      </c>
      <c r="C149" s="944">
        <v>1644.1</v>
      </c>
      <c r="D149" s="944">
        <v>126</v>
      </c>
      <c r="E149" s="944">
        <v>128.80000000000001</v>
      </c>
      <c r="F149" s="944">
        <v>128.80000000000001</v>
      </c>
      <c r="G149" s="944">
        <v>128.80000000000001</v>
      </c>
      <c r="H149" s="944">
        <v>128.80000000000001</v>
      </c>
      <c r="I149" s="944">
        <v>152.80000000000001</v>
      </c>
      <c r="J149" s="944">
        <v>136.80000000000001</v>
      </c>
      <c r="K149" s="944">
        <v>136.80000000000001</v>
      </c>
      <c r="L149" s="944">
        <v>128.80000000000001</v>
      </c>
      <c r="M149" s="944">
        <v>128.80000000000001</v>
      </c>
      <c r="N149" s="944">
        <v>128.80000000000001</v>
      </c>
      <c r="O149" s="944">
        <v>190.1</v>
      </c>
      <c r="P149" s="944">
        <v>0</v>
      </c>
      <c r="Q149" s="944">
        <v>0</v>
      </c>
      <c r="R149" s="932" t="s">
        <v>2150</v>
      </c>
      <c r="S149" s="932" t="s">
        <v>2278</v>
      </c>
      <c r="T149" s="932" t="s">
        <v>1967</v>
      </c>
      <c r="U149" s="932" t="s">
        <v>1968</v>
      </c>
      <c r="V149" s="932" t="s">
        <v>1927</v>
      </c>
      <c r="W149" s="932" t="s">
        <v>1927</v>
      </c>
      <c r="X149" s="932" t="s">
        <v>2151</v>
      </c>
      <c r="Y149" s="932" t="s">
        <v>2279</v>
      </c>
      <c r="Z149" s="932" t="s">
        <v>1969</v>
      </c>
    </row>
    <row r="150" spans="1:26">
      <c r="A150" s="943" t="s">
        <v>2304</v>
      </c>
      <c r="B150" s="943" t="s">
        <v>2305</v>
      </c>
      <c r="C150" s="944">
        <v>16441.2</v>
      </c>
      <c r="D150" s="944">
        <v>1259.8</v>
      </c>
      <c r="E150" s="944">
        <v>1287.8</v>
      </c>
      <c r="F150" s="944">
        <v>1287.8</v>
      </c>
      <c r="G150" s="944">
        <v>1287.8</v>
      </c>
      <c r="H150" s="944">
        <v>1287.8</v>
      </c>
      <c r="I150" s="944">
        <v>1527.8</v>
      </c>
      <c r="J150" s="944">
        <v>1367.8</v>
      </c>
      <c r="K150" s="944">
        <v>1367.8</v>
      </c>
      <c r="L150" s="944">
        <v>1287.8</v>
      </c>
      <c r="M150" s="944">
        <v>1287.8</v>
      </c>
      <c r="N150" s="944">
        <v>1287.8</v>
      </c>
      <c r="O150" s="944">
        <v>1903.4</v>
      </c>
      <c r="P150" s="944">
        <v>0</v>
      </c>
      <c r="Q150" s="944">
        <v>0</v>
      </c>
      <c r="R150" s="932" t="s">
        <v>2150</v>
      </c>
      <c r="S150" s="932" t="s">
        <v>2278</v>
      </c>
      <c r="T150" s="932" t="s">
        <v>1971</v>
      </c>
      <c r="U150" s="932" t="s">
        <v>1972</v>
      </c>
      <c r="V150" s="932" t="s">
        <v>1927</v>
      </c>
      <c r="W150" s="932" t="s">
        <v>1927</v>
      </c>
      <c r="X150" s="932" t="s">
        <v>2151</v>
      </c>
      <c r="Y150" s="932" t="s">
        <v>2279</v>
      </c>
      <c r="Z150" s="932" t="s">
        <v>1973</v>
      </c>
    </row>
    <row r="151" spans="1:26">
      <c r="A151" s="943" t="s">
        <v>2306</v>
      </c>
      <c r="B151" s="943" t="s">
        <v>2307</v>
      </c>
      <c r="C151" s="944">
        <v>93287.3</v>
      </c>
      <c r="D151" s="944">
        <v>8827</v>
      </c>
      <c r="E151" s="944">
        <v>8826.6</v>
      </c>
      <c r="F151" s="944">
        <v>8826.6</v>
      </c>
      <c r="G151" s="944">
        <v>8826.6</v>
      </c>
      <c r="H151" s="944">
        <v>8826.6</v>
      </c>
      <c r="I151" s="944">
        <v>4616</v>
      </c>
      <c r="J151" s="944">
        <v>6866</v>
      </c>
      <c r="K151" s="944">
        <v>3366</v>
      </c>
      <c r="L151" s="944">
        <v>7826.6</v>
      </c>
      <c r="M151" s="944">
        <v>8826.6</v>
      </c>
      <c r="N151" s="944">
        <v>8826.6</v>
      </c>
      <c r="O151" s="944">
        <v>8826.1</v>
      </c>
      <c r="P151" s="944">
        <v>0</v>
      </c>
      <c r="Q151" s="944">
        <v>0</v>
      </c>
      <c r="R151" s="932" t="s">
        <v>2150</v>
      </c>
      <c r="S151" s="932" t="s">
        <v>2278</v>
      </c>
      <c r="T151" s="932" t="s">
        <v>1927</v>
      </c>
      <c r="U151" s="932" t="s">
        <v>1975</v>
      </c>
      <c r="V151" s="932" t="s">
        <v>1927</v>
      </c>
      <c r="W151" s="932" t="s">
        <v>1927</v>
      </c>
      <c r="X151" s="932" t="s">
        <v>2151</v>
      </c>
      <c r="Y151" s="932" t="s">
        <v>2279</v>
      </c>
      <c r="Z151" s="932" t="s">
        <v>1976</v>
      </c>
    </row>
    <row r="152" spans="1:26">
      <c r="A152" s="943" t="s">
        <v>2308</v>
      </c>
      <c r="B152" s="943" t="s">
        <v>2309</v>
      </c>
      <c r="C152" s="944">
        <v>33591.5</v>
      </c>
      <c r="D152" s="944">
        <v>2799.3</v>
      </c>
      <c r="E152" s="944">
        <v>2799.3</v>
      </c>
      <c r="F152" s="944">
        <v>2799.3</v>
      </c>
      <c r="G152" s="944">
        <v>2799.3</v>
      </c>
      <c r="H152" s="944">
        <v>2799.3</v>
      </c>
      <c r="I152" s="944">
        <v>2799.3</v>
      </c>
      <c r="J152" s="944">
        <v>5049.3</v>
      </c>
      <c r="K152" s="944">
        <v>1549.3</v>
      </c>
      <c r="L152" s="944">
        <v>1799.3</v>
      </c>
      <c r="M152" s="944">
        <v>2799.3</v>
      </c>
      <c r="N152" s="944">
        <v>2799.3</v>
      </c>
      <c r="O152" s="944">
        <v>2799.2</v>
      </c>
      <c r="P152" s="944">
        <v>0</v>
      </c>
      <c r="Q152" s="944">
        <v>0</v>
      </c>
      <c r="R152" s="932" t="s">
        <v>2150</v>
      </c>
      <c r="S152" s="932" t="s">
        <v>2278</v>
      </c>
      <c r="T152" s="932" t="s">
        <v>1978</v>
      </c>
      <c r="U152" s="932" t="s">
        <v>1979</v>
      </c>
      <c r="V152" s="932" t="s">
        <v>1927</v>
      </c>
      <c r="W152" s="932" t="s">
        <v>1927</v>
      </c>
      <c r="X152" s="932" t="s">
        <v>2151</v>
      </c>
      <c r="Y152" s="932" t="s">
        <v>2279</v>
      </c>
      <c r="Z152" s="932" t="s">
        <v>1980</v>
      </c>
    </row>
    <row r="153" spans="1:26">
      <c r="A153" s="943" t="s">
        <v>2310</v>
      </c>
      <c r="B153" s="943" t="s">
        <v>2311</v>
      </c>
      <c r="C153" s="944">
        <v>37895.800000000003</v>
      </c>
      <c r="D153" s="944">
        <v>4211</v>
      </c>
      <c r="E153" s="944">
        <v>4210.6000000000004</v>
      </c>
      <c r="F153" s="944">
        <v>4210.6000000000004</v>
      </c>
      <c r="G153" s="944">
        <v>4210.6000000000004</v>
      </c>
      <c r="H153" s="944">
        <v>4210.6000000000004</v>
      </c>
      <c r="I153" s="944">
        <v>0</v>
      </c>
      <c r="J153" s="944">
        <v>0</v>
      </c>
      <c r="K153" s="944">
        <v>0</v>
      </c>
      <c r="L153" s="944">
        <v>4210.6000000000004</v>
      </c>
      <c r="M153" s="944">
        <v>4210.6000000000004</v>
      </c>
      <c r="N153" s="944">
        <v>4210.6000000000004</v>
      </c>
      <c r="O153" s="944">
        <v>4210.6000000000004</v>
      </c>
      <c r="P153" s="944">
        <v>0</v>
      </c>
      <c r="Q153" s="944">
        <v>0</v>
      </c>
      <c r="R153" s="932" t="s">
        <v>2150</v>
      </c>
      <c r="S153" s="932" t="s">
        <v>2278</v>
      </c>
      <c r="T153" s="932" t="s">
        <v>1982</v>
      </c>
      <c r="U153" s="932" t="s">
        <v>1983</v>
      </c>
      <c r="V153" s="932" t="s">
        <v>1927</v>
      </c>
      <c r="W153" s="932" t="s">
        <v>1927</v>
      </c>
      <c r="X153" s="932" t="s">
        <v>2151</v>
      </c>
      <c r="Y153" s="932" t="s">
        <v>2279</v>
      </c>
      <c r="Z153" s="932" t="s">
        <v>1984</v>
      </c>
    </row>
    <row r="154" spans="1:26">
      <c r="A154" s="943" t="s">
        <v>2312</v>
      </c>
      <c r="B154" s="943" t="s">
        <v>2313</v>
      </c>
      <c r="C154" s="944">
        <v>21800</v>
      </c>
      <c r="D154" s="944">
        <v>1816.7</v>
      </c>
      <c r="E154" s="944">
        <v>1816.7</v>
      </c>
      <c r="F154" s="944">
        <v>1816.7</v>
      </c>
      <c r="G154" s="944">
        <v>1816.7</v>
      </c>
      <c r="H154" s="944">
        <v>1816.7</v>
      </c>
      <c r="I154" s="944">
        <v>1816.7</v>
      </c>
      <c r="J154" s="944">
        <v>1816.7</v>
      </c>
      <c r="K154" s="944">
        <v>1816.7</v>
      </c>
      <c r="L154" s="944">
        <v>1816.7</v>
      </c>
      <c r="M154" s="944">
        <v>1816.7</v>
      </c>
      <c r="N154" s="944">
        <v>1816.7</v>
      </c>
      <c r="O154" s="944">
        <v>1816.3</v>
      </c>
      <c r="P154" s="944">
        <v>0</v>
      </c>
      <c r="Q154" s="944">
        <v>0</v>
      </c>
      <c r="R154" s="932" t="s">
        <v>2150</v>
      </c>
      <c r="S154" s="932" t="s">
        <v>2278</v>
      </c>
      <c r="T154" s="932" t="s">
        <v>1986</v>
      </c>
      <c r="U154" s="932" t="s">
        <v>1987</v>
      </c>
      <c r="V154" s="932" t="s">
        <v>1927</v>
      </c>
      <c r="W154" s="932" t="s">
        <v>1927</v>
      </c>
      <c r="X154" s="932" t="s">
        <v>2151</v>
      </c>
      <c r="Y154" s="932" t="s">
        <v>2279</v>
      </c>
      <c r="Z154" s="932" t="s">
        <v>1988</v>
      </c>
    </row>
    <row r="155" spans="1:26">
      <c r="A155" s="943" t="s">
        <v>2314</v>
      </c>
      <c r="B155" s="943" t="s">
        <v>2315</v>
      </c>
      <c r="C155" s="944">
        <v>75698.8</v>
      </c>
      <c r="D155" s="944">
        <v>4783.3</v>
      </c>
      <c r="E155" s="944">
        <v>11928.5</v>
      </c>
      <c r="F155" s="944">
        <v>4783.3</v>
      </c>
      <c r="G155" s="944">
        <v>7073.7</v>
      </c>
      <c r="H155" s="944">
        <v>3638.1</v>
      </c>
      <c r="I155" s="944">
        <v>15938.1</v>
      </c>
      <c r="J155" s="944">
        <v>7073.7</v>
      </c>
      <c r="K155" s="944">
        <v>3638.1</v>
      </c>
      <c r="L155" s="944">
        <v>3638.1</v>
      </c>
      <c r="M155" s="944">
        <v>5928.3</v>
      </c>
      <c r="N155" s="944">
        <v>3638.1</v>
      </c>
      <c r="O155" s="944">
        <v>3637.5</v>
      </c>
      <c r="P155" s="944">
        <v>0</v>
      </c>
      <c r="Q155" s="944">
        <v>0</v>
      </c>
      <c r="R155" s="932" t="s">
        <v>2150</v>
      </c>
      <c r="S155" s="932" t="s">
        <v>2278</v>
      </c>
      <c r="T155" s="932" t="s">
        <v>1927</v>
      </c>
      <c r="U155" s="932" t="s">
        <v>1990</v>
      </c>
      <c r="V155" s="932" t="s">
        <v>1927</v>
      </c>
      <c r="W155" s="932" t="s">
        <v>1927</v>
      </c>
      <c r="X155" s="932" t="s">
        <v>2151</v>
      </c>
      <c r="Y155" s="932" t="s">
        <v>2279</v>
      </c>
      <c r="Z155" s="932" t="s">
        <v>1991</v>
      </c>
    </row>
    <row r="156" spans="1:26">
      <c r="A156" s="943" t="s">
        <v>2316</v>
      </c>
      <c r="B156" s="943" t="s">
        <v>2317</v>
      </c>
      <c r="C156" s="944">
        <v>15304.9</v>
      </c>
      <c r="D156" s="944">
        <v>900.4</v>
      </c>
      <c r="E156" s="944">
        <v>900.4</v>
      </c>
      <c r="F156" s="944">
        <v>900.4</v>
      </c>
      <c r="G156" s="944">
        <v>900.4</v>
      </c>
      <c r="H156" s="944">
        <v>900.4</v>
      </c>
      <c r="I156" s="944">
        <v>5400.4</v>
      </c>
      <c r="J156" s="944">
        <v>900.4</v>
      </c>
      <c r="K156" s="944">
        <v>900.4</v>
      </c>
      <c r="L156" s="944">
        <v>900.4</v>
      </c>
      <c r="M156" s="944">
        <v>900.4</v>
      </c>
      <c r="N156" s="944">
        <v>900.4</v>
      </c>
      <c r="O156" s="944">
        <v>900.5</v>
      </c>
      <c r="P156" s="944">
        <v>0</v>
      </c>
      <c r="Q156" s="944">
        <v>0</v>
      </c>
      <c r="R156" s="932" t="s">
        <v>2150</v>
      </c>
      <c r="S156" s="932" t="s">
        <v>2278</v>
      </c>
      <c r="T156" s="932" t="s">
        <v>1993</v>
      </c>
      <c r="U156" s="932" t="s">
        <v>1994</v>
      </c>
      <c r="V156" s="932" t="s">
        <v>1927</v>
      </c>
      <c r="W156" s="932" t="s">
        <v>1927</v>
      </c>
      <c r="X156" s="932" t="s">
        <v>2151</v>
      </c>
      <c r="Y156" s="932" t="s">
        <v>2279</v>
      </c>
      <c r="Z156" s="932" t="s">
        <v>946</v>
      </c>
    </row>
    <row r="157" spans="1:26">
      <c r="A157" s="943" t="s">
        <v>2318</v>
      </c>
      <c r="B157" s="943" t="s">
        <v>2319</v>
      </c>
      <c r="C157" s="944">
        <v>15840</v>
      </c>
      <c r="D157" s="944">
        <v>1320</v>
      </c>
      <c r="E157" s="944">
        <v>1320</v>
      </c>
      <c r="F157" s="944">
        <v>1320</v>
      </c>
      <c r="G157" s="944">
        <v>1320</v>
      </c>
      <c r="H157" s="944">
        <v>1320</v>
      </c>
      <c r="I157" s="944">
        <v>1320</v>
      </c>
      <c r="J157" s="944">
        <v>1320</v>
      </c>
      <c r="K157" s="944">
        <v>1320</v>
      </c>
      <c r="L157" s="944">
        <v>1320</v>
      </c>
      <c r="M157" s="944">
        <v>1320</v>
      </c>
      <c r="N157" s="944">
        <v>1320</v>
      </c>
      <c r="O157" s="944">
        <v>1320</v>
      </c>
      <c r="P157" s="944">
        <v>0</v>
      </c>
      <c r="Q157" s="944">
        <v>0</v>
      </c>
      <c r="R157" s="932" t="s">
        <v>2150</v>
      </c>
      <c r="S157" s="932" t="s">
        <v>2278</v>
      </c>
      <c r="T157" s="932" t="s">
        <v>1996</v>
      </c>
      <c r="U157" s="932" t="s">
        <v>1997</v>
      </c>
      <c r="V157" s="932" t="s">
        <v>1927</v>
      </c>
      <c r="W157" s="932" t="s">
        <v>1927</v>
      </c>
      <c r="X157" s="932" t="s">
        <v>2151</v>
      </c>
      <c r="Y157" s="932" t="s">
        <v>2279</v>
      </c>
      <c r="Z157" s="932" t="s">
        <v>1998</v>
      </c>
    </row>
    <row r="158" spans="1:26">
      <c r="A158" s="943" t="s">
        <v>2320</v>
      </c>
      <c r="B158" s="943" t="s">
        <v>2321</v>
      </c>
      <c r="C158" s="944">
        <v>12069.2</v>
      </c>
      <c r="D158" s="944">
        <v>355.8</v>
      </c>
      <c r="E158" s="944">
        <v>355.8</v>
      </c>
      <c r="F158" s="944">
        <v>355.8</v>
      </c>
      <c r="G158" s="944">
        <v>355.8</v>
      </c>
      <c r="H158" s="944">
        <v>355.8</v>
      </c>
      <c r="I158" s="944">
        <v>8155.8</v>
      </c>
      <c r="J158" s="944">
        <v>355.8</v>
      </c>
      <c r="K158" s="944">
        <v>355.8</v>
      </c>
      <c r="L158" s="944">
        <v>355.8</v>
      </c>
      <c r="M158" s="944">
        <v>355.8</v>
      </c>
      <c r="N158" s="944">
        <v>355.8</v>
      </c>
      <c r="O158" s="944">
        <v>355.4</v>
      </c>
      <c r="P158" s="944">
        <v>0</v>
      </c>
      <c r="Q158" s="944">
        <v>0</v>
      </c>
      <c r="R158" s="932" t="s">
        <v>2150</v>
      </c>
      <c r="S158" s="932" t="s">
        <v>2278</v>
      </c>
      <c r="T158" s="932" t="s">
        <v>2000</v>
      </c>
      <c r="U158" s="932" t="s">
        <v>2001</v>
      </c>
      <c r="V158" s="932" t="s">
        <v>1927</v>
      </c>
      <c r="W158" s="932" t="s">
        <v>1927</v>
      </c>
      <c r="X158" s="932" t="s">
        <v>2151</v>
      </c>
      <c r="Y158" s="932" t="s">
        <v>2279</v>
      </c>
      <c r="Z158" s="932" t="s">
        <v>2002</v>
      </c>
    </row>
    <row r="159" spans="1:26">
      <c r="A159" s="943" t="s">
        <v>2322</v>
      </c>
      <c r="B159" s="943" t="s">
        <v>2323</v>
      </c>
      <c r="C159" s="944">
        <v>12742.5</v>
      </c>
      <c r="D159" s="944">
        <v>1061.9000000000001</v>
      </c>
      <c r="E159" s="944">
        <v>1061.9000000000001</v>
      </c>
      <c r="F159" s="944">
        <v>1061.9000000000001</v>
      </c>
      <c r="G159" s="944">
        <v>1061.9000000000001</v>
      </c>
      <c r="H159" s="944">
        <v>1061.9000000000001</v>
      </c>
      <c r="I159" s="944">
        <v>1061.9000000000001</v>
      </c>
      <c r="J159" s="944">
        <v>1061.9000000000001</v>
      </c>
      <c r="K159" s="944">
        <v>1061.9000000000001</v>
      </c>
      <c r="L159" s="944">
        <v>1061.9000000000001</v>
      </c>
      <c r="M159" s="944">
        <v>1061.9000000000001</v>
      </c>
      <c r="N159" s="944">
        <v>1061.9000000000001</v>
      </c>
      <c r="O159" s="944">
        <v>1061.5999999999999</v>
      </c>
      <c r="P159" s="944">
        <v>0</v>
      </c>
      <c r="Q159" s="944">
        <v>0</v>
      </c>
      <c r="R159" s="932" t="s">
        <v>2150</v>
      </c>
      <c r="S159" s="932" t="s">
        <v>2278</v>
      </c>
      <c r="T159" s="932" t="s">
        <v>2004</v>
      </c>
      <c r="U159" s="932" t="s">
        <v>2005</v>
      </c>
      <c r="V159" s="932" t="s">
        <v>1927</v>
      </c>
      <c r="W159" s="932" t="s">
        <v>1927</v>
      </c>
      <c r="X159" s="932" t="s">
        <v>2151</v>
      </c>
      <c r="Y159" s="932" t="s">
        <v>2279</v>
      </c>
      <c r="Z159" s="932" t="s">
        <v>2006</v>
      </c>
    </row>
    <row r="160" spans="1:26">
      <c r="A160" s="943" t="s">
        <v>2324</v>
      </c>
      <c r="B160" s="943" t="s">
        <v>2325</v>
      </c>
      <c r="C160" s="944">
        <v>19742.2</v>
      </c>
      <c r="D160" s="944">
        <v>1145.2</v>
      </c>
      <c r="E160" s="944">
        <v>8290.4</v>
      </c>
      <c r="F160" s="944">
        <v>1145.2</v>
      </c>
      <c r="G160" s="944">
        <v>3435.6</v>
      </c>
      <c r="H160" s="944">
        <v>0</v>
      </c>
      <c r="I160" s="944">
        <v>0</v>
      </c>
      <c r="J160" s="944">
        <v>3435.6</v>
      </c>
      <c r="K160" s="944">
        <v>0</v>
      </c>
      <c r="L160" s="944">
        <v>0</v>
      </c>
      <c r="M160" s="944">
        <v>2290.1999999999998</v>
      </c>
      <c r="N160" s="944">
        <v>0</v>
      </c>
      <c r="O160" s="944">
        <v>0</v>
      </c>
      <c r="P160" s="944">
        <v>0</v>
      </c>
      <c r="Q160" s="944">
        <v>0</v>
      </c>
      <c r="R160" s="932" t="s">
        <v>2150</v>
      </c>
      <c r="S160" s="932" t="s">
        <v>2278</v>
      </c>
      <c r="T160" s="932" t="s">
        <v>2008</v>
      </c>
      <c r="U160" s="932" t="s">
        <v>2009</v>
      </c>
      <c r="V160" s="932" t="s">
        <v>1927</v>
      </c>
      <c r="W160" s="932" t="s">
        <v>1927</v>
      </c>
      <c r="X160" s="932" t="s">
        <v>2151</v>
      </c>
      <c r="Y160" s="932" t="s">
        <v>2279</v>
      </c>
      <c r="Z160" s="932" t="s">
        <v>2010</v>
      </c>
    </row>
    <row r="161" spans="1:26">
      <c r="A161" s="943" t="s">
        <v>2326</v>
      </c>
      <c r="B161" s="943" t="s">
        <v>2327</v>
      </c>
      <c r="C161" s="944">
        <v>485.1</v>
      </c>
      <c r="D161" s="944">
        <v>0</v>
      </c>
      <c r="E161" s="944">
        <v>0</v>
      </c>
      <c r="F161" s="944">
        <v>0</v>
      </c>
      <c r="G161" s="944">
        <v>485.1</v>
      </c>
      <c r="H161" s="944">
        <v>0</v>
      </c>
      <c r="I161" s="944">
        <v>0</v>
      </c>
      <c r="J161" s="944">
        <v>0</v>
      </c>
      <c r="K161" s="944">
        <v>0</v>
      </c>
      <c r="L161" s="944">
        <v>0</v>
      </c>
      <c r="M161" s="944">
        <v>0</v>
      </c>
      <c r="N161" s="944">
        <v>0</v>
      </c>
      <c r="O161" s="944">
        <v>0</v>
      </c>
      <c r="P161" s="944">
        <v>0</v>
      </c>
      <c r="Q161" s="944">
        <v>0</v>
      </c>
      <c r="R161" s="932" t="s">
        <v>2150</v>
      </c>
      <c r="S161" s="932" t="s">
        <v>2278</v>
      </c>
      <c r="T161" s="932" t="s">
        <v>1927</v>
      </c>
      <c r="U161" s="932" t="s">
        <v>2012</v>
      </c>
      <c r="V161" s="932" t="s">
        <v>1927</v>
      </c>
      <c r="W161" s="932" t="s">
        <v>1927</v>
      </c>
      <c r="X161" s="932" t="s">
        <v>2151</v>
      </c>
      <c r="Y161" s="932" t="s">
        <v>2279</v>
      </c>
      <c r="Z161" s="932" t="s">
        <v>2013</v>
      </c>
    </row>
    <row r="162" spans="1:26">
      <c r="A162" s="943" t="s">
        <v>2328</v>
      </c>
      <c r="B162" s="943" t="s">
        <v>2329</v>
      </c>
      <c r="C162" s="944">
        <v>485.1</v>
      </c>
      <c r="D162" s="944">
        <v>0</v>
      </c>
      <c r="E162" s="944">
        <v>0</v>
      </c>
      <c r="F162" s="944">
        <v>0</v>
      </c>
      <c r="G162" s="944">
        <v>485.1</v>
      </c>
      <c r="H162" s="944">
        <v>0</v>
      </c>
      <c r="I162" s="944">
        <v>0</v>
      </c>
      <c r="J162" s="944">
        <v>0</v>
      </c>
      <c r="K162" s="944">
        <v>0</v>
      </c>
      <c r="L162" s="944">
        <v>0</v>
      </c>
      <c r="M162" s="944">
        <v>0</v>
      </c>
      <c r="N162" s="944">
        <v>0</v>
      </c>
      <c r="O162" s="944">
        <v>0</v>
      </c>
      <c r="P162" s="944">
        <v>0</v>
      </c>
      <c r="Q162" s="944">
        <v>0</v>
      </c>
      <c r="R162" s="932" t="s">
        <v>2150</v>
      </c>
      <c r="S162" s="932" t="s">
        <v>2278</v>
      </c>
      <c r="T162" s="932" t="s">
        <v>2015</v>
      </c>
      <c r="U162" s="932" t="s">
        <v>2016</v>
      </c>
      <c r="V162" s="932" t="s">
        <v>1927</v>
      </c>
      <c r="W162" s="932" t="s">
        <v>1927</v>
      </c>
      <c r="X162" s="932" t="s">
        <v>2151</v>
      </c>
      <c r="Y162" s="932" t="s">
        <v>2279</v>
      </c>
      <c r="Z162" s="932" t="s">
        <v>2017</v>
      </c>
    </row>
    <row r="163" spans="1:26">
      <c r="A163" s="943" t="s">
        <v>2330</v>
      </c>
      <c r="B163" s="943" t="s">
        <v>2331</v>
      </c>
      <c r="C163" s="944">
        <v>54827.8</v>
      </c>
      <c r="D163" s="944">
        <v>850</v>
      </c>
      <c r="E163" s="944">
        <v>16354</v>
      </c>
      <c r="F163" s="944">
        <v>8250</v>
      </c>
      <c r="G163" s="944">
        <v>0</v>
      </c>
      <c r="H163" s="944">
        <v>5894.5</v>
      </c>
      <c r="I163" s="944">
        <v>8250</v>
      </c>
      <c r="J163" s="944">
        <v>5894.5</v>
      </c>
      <c r="K163" s="944">
        <v>0</v>
      </c>
      <c r="L163" s="944">
        <v>8250</v>
      </c>
      <c r="M163" s="944">
        <v>1084.8</v>
      </c>
      <c r="N163" s="944">
        <v>0</v>
      </c>
      <c r="O163" s="944">
        <v>0</v>
      </c>
      <c r="P163" s="944">
        <v>0</v>
      </c>
      <c r="Q163" s="944">
        <v>0</v>
      </c>
      <c r="R163" s="932" t="s">
        <v>2150</v>
      </c>
      <c r="S163" s="932" t="s">
        <v>2278</v>
      </c>
      <c r="T163" s="932" t="s">
        <v>1927</v>
      </c>
      <c r="U163" s="932" t="s">
        <v>2019</v>
      </c>
      <c r="V163" s="932" t="s">
        <v>1927</v>
      </c>
      <c r="W163" s="932" t="s">
        <v>1927</v>
      </c>
      <c r="X163" s="932" t="s">
        <v>2151</v>
      </c>
      <c r="Y163" s="932" t="s">
        <v>2279</v>
      </c>
      <c r="Z163" s="932" t="s">
        <v>2020</v>
      </c>
    </row>
    <row r="164" spans="1:26">
      <c r="A164" s="943" t="s">
        <v>2332</v>
      </c>
      <c r="B164" s="943" t="s">
        <v>2333</v>
      </c>
      <c r="C164" s="944">
        <v>31250</v>
      </c>
      <c r="D164" s="944">
        <v>0</v>
      </c>
      <c r="E164" s="944">
        <v>6500</v>
      </c>
      <c r="F164" s="944">
        <v>8250</v>
      </c>
      <c r="G164" s="944">
        <v>0</v>
      </c>
      <c r="H164" s="944">
        <v>0</v>
      </c>
      <c r="I164" s="944">
        <v>8250</v>
      </c>
      <c r="J164" s="944">
        <v>0</v>
      </c>
      <c r="K164" s="944">
        <v>0</v>
      </c>
      <c r="L164" s="944">
        <v>8250</v>
      </c>
      <c r="M164" s="944">
        <v>0</v>
      </c>
      <c r="N164" s="944">
        <v>0</v>
      </c>
      <c r="O164" s="944">
        <v>0</v>
      </c>
      <c r="P164" s="944">
        <v>0</v>
      </c>
      <c r="Q164" s="944">
        <v>0</v>
      </c>
      <c r="R164" s="932" t="s">
        <v>2150</v>
      </c>
      <c r="S164" s="932" t="s">
        <v>2278</v>
      </c>
      <c r="T164" s="932" t="s">
        <v>2022</v>
      </c>
      <c r="U164" s="932" t="s">
        <v>2023</v>
      </c>
      <c r="V164" s="932" t="s">
        <v>1927</v>
      </c>
      <c r="W164" s="932" t="s">
        <v>1927</v>
      </c>
      <c r="X164" s="932" t="s">
        <v>2151</v>
      </c>
      <c r="Y164" s="932" t="s">
        <v>2279</v>
      </c>
      <c r="Z164" s="932" t="s">
        <v>230</v>
      </c>
    </row>
    <row r="165" spans="1:26">
      <c r="A165" s="943" t="s">
        <v>2334</v>
      </c>
      <c r="B165" s="943" t="s">
        <v>2335</v>
      </c>
      <c r="C165" s="944">
        <v>23577.8</v>
      </c>
      <c r="D165" s="944">
        <v>850</v>
      </c>
      <c r="E165" s="944">
        <v>9854</v>
      </c>
      <c r="F165" s="944">
        <v>0</v>
      </c>
      <c r="G165" s="944">
        <v>0</v>
      </c>
      <c r="H165" s="944">
        <v>5894.5</v>
      </c>
      <c r="I165" s="944">
        <v>0</v>
      </c>
      <c r="J165" s="944">
        <v>5894.5</v>
      </c>
      <c r="K165" s="944">
        <v>0</v>
      </c>
      <c r="L165" s="944">
        <v>0</v>
      </c>
      <c r="M165" s="944">
        <v>1084.8</v>
      </c>
      <c r="N165" s="944">
        <v>0</v>
      </c>
      <c r="O165" s="944">
        <v>0</v>
      </c>
      <c r="P165" s="944">
        <v>0</v>
      </c>
      <c r="Q165" s="944">
        <v>0</v>
      </c>
      <c r="R165" s="932" t="s">
        <v>2150</v>
      </c>
      <c r="S165" s="932" t="s">
        <v>2278</v>
      </c>
      <c r="T165" s="932" t="s">
        <v>2025</v>
      </c>
      <c r="U165" s="932" t="s">
        <v>2026</v>
      </c>
      <c r="V165" s="932" t="s">
        <v>1927</v>
      </c>
      <c r="W165" s="932" t="s">
        <v>1927</v>
      </c>
      <c r="X165" s="932" t="s">
        <v>2151</v>
      </c>
      <c r="Y165" s="932" t="s">
        <v>2279</v>
      </c>
      <c r="Z165" s="932" t="s">
        <v>2027</v>
      </c>
    </row>
    <row r="166" spans="1:26">
      <c r="A166" s="943" t="s">
        <v>2336</v>
      </c>
      <c r="B166" s="943" t="s">
        <v>2337</v>
      </c>
      <c r="C166" s="944">
        <v>23021.200000000001</v>
      </c>
      <c r="D166" s="944">
        <v>1918.4</v>
      </c>
      <c r="E166" s="944">
        <v>1918.4</v>
      </c>
      <c r="F166" s="944">
        <v>1918.4</v>
      </c>
      <c r="G166" s="944">
        <v>1918.4</v>
      </c>
      <c r="H166" s="944">
        <v>1918.4</v>
      </c>
      <c r="I166" s="944">
        <v>1918.4</v>
      </c>
      <c r="J166" s="944">
        <v>1918.4</v>
      </c>
      <c r="K166" s="944">
        <v>1918.4</v>
      </c>
      <c r="L166" s="944">
        <v>1918.4</v>
      </c>
      <c r="M166" s="944">
        <v>1918.4</v>
      </c>
      <c r="N166" s="944">
        <v>1918.4</v>
      </c>
      <c r="O166" s="944">
        <v>1918.8</v>
      </c>
      <c r="P166" s="944">
        <v>0</v>
      </c>
      <c r="Q166" s="944">
        <v>0</v>
      </c>
      <c r="R166" s="932" t="s">
        <v>2150</v>
      </c>
      <c r="S166" s="932" t="s">
        <v>2278</v>
      </c>
      <c r="T166" s="932" t="s">
        <v>1927</v>
      </c>
      <c r="U166" s="932" t="s">
        <v>2029</v>
      </c>
      <c r="V166" s="932" t="s">
        <v>1927</v>
      </c>
      <c r="W166" s="932" t="s">
        <v>1927</v>
      </c>
      <c r="X166" s="932" t="s">
        <v>2151</v>
      </c>
      <c r="Y166" s="932" t="s">
        <v>2279</v>
      </c>
      <c r="Z166" s="932" t="s">
        <v>2030</v>
      </c>
    </row>
    <row r="167" spans="1:26">
      <c r="A167" s="943" t="s">
        <v>2338</v>
      </c>
      <c r="B167" s="943" t="s">
        <v>2339</v>
      </c>
      <c r="C167" s="944">
        <v>23021.200000000001</v>
      </c>
      <c r="D167" s="944">
        <v>1918.4</v>
      </c>
      <c r="E167" s="944">
        <v>1918.4</v>
      </c>
      <c r="F167" s="944">
        <v>1918.4</v>
      </c>
      <c r="G167" s="944">
        <v>1918.4</v>
      </c>
      <c r="H167" s="944">
        <v>1918.4</v>
      </c>
      <c r="I167" s="944">
        <v>1918.4</v>
      </c>
      <c r="J167" s="944">
        <v>1918.4</v>
      </c>
      <c r="K167" s="944">
        <v>1918.4</v>
      </c>
      <c r="L167" s="944">
        <v>1918.4</v>
      </c>
      <c r="M167" s="944">
        <v>1918.4</v>
      </c>
      <c r="N167" s="944">
        <v>1918.4</v>
      </c>
      <c r="O167" s="944">
        <v>1918.8</v>
      </c>
      <c r="P167" s="944">
        <v>0</v>
      </c>
      <c r="Q167" s="944">
        <v>0</v>
      </c>
      <c r="R167" s="932" t="s">
        <v>2150</v>
      </c>
      <c r="S167" s="932" t="s">
        <v>2278</v>
      </c>
      <c r="T167" s="932" t="s">
        <v>2032</v>
      </c>
      <c r="U167" s="932" t="s">
        <v>2033</v>
      </c>
      <c r="V167" s="932" t="s">
        <v>1927</v>
      </c>
      <c r="W167" s="932" t="s">
        <v>1927</v>
      </c>
      <c r="X167" s="932" t="s">
        <v>2151</v>
      </c>
      <c r="Y167" s="932" t="s">
        <v>2279</v>
      </c>
      <c r="Z167" s="932" t="s">
        <v>2034</v>
      </c>
    </row>
    <row r="168" spans="1:26">
      <c r="A168" s="943" t="s">
        <v>2340</v>
      </c>
      <c r="B168" s="943" t="s">
        <v>2341</v>
      </c>
      <c r="C168" s="944">
        <v>259343.3</v>
      </c>
      <c r="D168" s="944">
        <v>21818.6</v>
      </c>
      <c r="E168" s="944">
        <v>26163.599999999999</v>
      </c>
      <c r="F168" s="944">
        <v>27164.5</v>
      </c>
      <c r="G168" s="944">
        <v>32536.2</v>
      </c>
      <c r="H168" s="944">
        <v>20718.599999999999</v>
      </c>
      <c r="I168" s="944">
        <v>23286.6</v>
      </c>
      <c r="J168" s="944">
        <v>11694</v>
      </c>
      <c r="K168" s="944">
        <v>11918.4</v>
      </c>
      <c r="L168" s="944">
        <v>16193.8</v>
      </c>
      <c r="M168" s="944">
        <v>28061.5</v>
      </c>
      <c r="N168" s="944">
        <v>19894</v>
      </c>
      <c r="O168" s="944">
        <v>19893.5</v>
      </c>
      <c r="P168" s="944">
        <v>0</v>
      </c>
      <c r="Q168" s="944">
        <v>0</v>
      </c>
      <c r="R168" s="932" t="s">
        <v>2150</v>
      </c>
      <c r="S168" s="932" t="s">
        <v>2278</v>
      </c>
      <c r="T168" s="932" t="s">
        <v>1927</v>
      </c>
      <c r="U168" s="932" t="s">
        <v>2036</v>
      </c>
      <c r="V168" s="932" t="s">
        <v>1927</v>
      </c>
      <c r="W168" s="932" t="s">
        <v>1927</v>
      </c>
      <c r="X168" s="932" t="s">
        <v>2151</v>
      </c>
      <c r="Y168" s="932" t="s">
        <v>2279</v>
      </c>
      <c r="Z168" s="932" t="s">
        <v>2037</v>
      </c>
    </row>
    <row r="169" spans="1:26">
      <c r="A169" s="943" t="s">
        <v>2342</v>
      </c>
      <c r="B169" s="943" t="s">
        <v>2343</v>
      </c>
      <c r="C169" s="944">
        <v>209727.3</v>
      </c>
      <c r="D169" s="944">
        <v>20794</v>
      </c>
      <c r="E169" s="944">
        <v>19694</v>
      </c>
      <c r="F169" s="944">
        <v>19694</v>
      </c>
      <c r="G169" s="944">
        <v>19694</v>
      </c>
      <c r="H169" s="944">
        <v>19694</v>
      </c>
      <c r="I169" s="944">
        <v>11694</v>
      </c>
      <c r="J169" s="944">
        <v>11694</v>
      </c>
      <c r="K169" s="944">
        <v>11694</v>
      </c>
      <c r="L169" s="944">
        <v>15993.8</v>
      </c>
      <c r="M169" s="944">
        <v>19694</v>
      </c>
      <c r="N169" s="944">
        <v>19694</v>
      </c>
      <c r="O169" s="944">
        <v>19693.5</v>
      </c>
      <c r="P169" s="944">
        <v>0</v>
      </c>
      <c r="Q169" s="944">
        <v>0</v>
      </c>
      <c r="R169" s="932" t="s">
        <v>2150</v>
      </c>
      <c r="S169" s="932" t="s">
        <v>2278</v>
      </c>
      <c r="T169" s="932" t="s">
        <v>2039</v>
      </c>
      <c r="U169" s="932" t="s">
        <v>2040</v>
      </c>
      <c r="V169" s="932" t="s">
        <v>1927</v>
      </c>
      <c r="W169" s="932" t="s">
        <v>1927</v>
      </c>
      <c r="X169" s="932" t="s">
        <v>2151</v>
      </c>
      <c r="Y169" s="932" t="s">
        <v>2279</v>
      </c>
      <c r="Z169" s="932" t="s">
        <v>2041</v>
      </c>
    </row>
    <row r="170" spans="1:26">
      <c r="A170" s="943" t="s">
        <v>2344</v>
      </c>
      <c r="B170" s="943" t="s">
        <v>2345</v>
      </c>
      <c r="C170" s="944">
        <v>2852.2</v>
      </c>
      <c r="D170" s="944">
        <v>0</v>
      </c>
      <c r="E170" s="944">
        <v>0</v>
      </c>
      <c r="F170" s="944">
        <v>2852.2</v>
      </c>
      <c r="G170" s="944">
        <v>0</v>
      </c>
      <c r="H170" s="944">
        <v>0</v>
      </c>
      <c r="I170" s="944">
        <v>0</v>
      </c>
      <c r="J170" s="944">
        <v>0</v>
      </c>
      <c r="K170" s="944">
        <v>0</v>
      </c>
      <c r="L170" s="944">
        <v>0</v>
      </c>
      <c r="M170" s="944">
        <v>0</v>
      </c>
      <c r="N170" s="944">
        <v>0</v>
      </c>
      <c r="O170" s="944">
        <v>0</v>
      </c>
      <c r="P170" s="944">
        <v>0</v>
      </c>
      <c r="Q170" s="944">
        <v>0</v>
      </c>
      <c r="R170" s="932" t="s">
        <v>2150</v>
      </c>
      <c r="S170" s="932" t="s">
        <v>2278</v>
      </c>
      <c r="T170" s="932" t="s">
        <v>2043</v>
      </c>
      <c r="U170" s="932" t="s">
        <v>2044</v>
      </c>
      <c r="V170" s="932" t="s">
        <v>1927</v>
      </c>
      <c r="W170" s="932" t="s">
        <v>1927</v>
      </c>
      <c r="X170" s="932" t="s">
        <v>2151</v>
      </c>
      <c r="Y170" s="932" t="s">
        <v>2279</v>
      </c>
      <c r="Z170" s="932" t="s">
        <v>2045</v>
      </c>
    </row>
    <row r="171" spans="1:26">
      <c r="A171" s="943" t="s">
        <v>2346</v>
      </c>
      <c r="B171" s="943" t="s">
        <v>2347</v>
      </c>
      <c r="C171" s="944">
        <v>871.2</v>
      </c>
      <c r="D171" s="944">
        <v>0</v>
      </c>
      <c r="E171" s="944">
        <v>0</v>
      </c>
      <c r="F171" s="944">
        <v>871.2</v>
      </c>
      <c r="G171" s="944">
        <v>0</v>
      </c>
      <c r="H171" s="944">
        <v>0</v>
      </c>
      <c r="I171" s="944">
        <v>0</v>
      </c>
      <c r="J171" s="944">
        <v>0</v>
      </c>
      <c r="K171" s="944">
        <v>0</v>
      </c>
      <c r="L171" s="944">
        <v>0</v>
      </c>
      <c r="M171" s="944">
        <v>0</v>
      </c>
      <c r="N171" s="944">
        <v>0</v>
      </c>
      <c r="O171" s="944">
        <v>0</v>
      </c>
      <c r="P171" s="944">
        <v>0</v>
      </c>
      <c r="Q171" s="944">
        <v>0</v>
      </c>
      <c r="R171" s="932" t="s">
        <v>2150</v>
      </c>
      <c r="S171" s="932" t="s">
        <v>2278</v>
      </c>
      <c r="T171" s="932" t="s">
        <v>2047</v>
      </c>
      <c r="U171" s="932" t="s">
        <v>2048</v>
      </c>
      <c r="V171" s="932" t="s">
        <v>1927</v>
      </c>
      <c r="W171" s="932" t="s">
        <v>1927</v>
      </c>
      <c r="X171" s="932" t="s">
        <v>2151</v>
      </c>
      <c r="Y171" s="932" t="s">
        <v>2279</v>
      </c>
      <c r="Z171" s="932" t="s">
        <v>127</v>
      </c>
    </row>
    <row r="172" spans="1:26">
      <c r="A172" s="943" t="s">
        <v>2348</v>
      </c>
      <c r="B172" s="943" t="s">
        <v>2349</v>
      </c>
      <c r="C172" s="944">
        <v>185.1</v>
      </c>
      <c r="D172" s="944">
        <v>0</v>
      </c>
      <c r="E172" s="944">
        <v>0</v>
      </c>
      <c r="F172" s="944">
        <v>0</v>
      </c>
      <c r="G172" s="944">
        <v>185.1</v>
      </c>
      <c r="H172" s="944">
        <v>0</v>
      </c>
      <c r="I172" s="944">
        <v>0</v>
      </c>
      <c r="J172" s="944">
        <v>0</v>
      </c>
      <c r="K172" s="944">
        <v>0</v>
      </c>
      <c r="L172" s="944">
        <v>0</v>
      </c>
      <c r="M172" s="944">
        <v>0</v>
      </c>
      <c r="N172" s="944">
        <v>0</v>
      </c>
      <c r="O172" s="944">
        <v>0</v>
      </c>
      <c r="P172" s="944">
        <v>0</v>
      </c>
      <c r="Q172" s="944">
        <v>0</v>
      </c>
      <c r="R172" s="932" t="s">
        <v>2150</v>
      </c>
      <c r="S172" s="932" t="s">
        <v>2278</v>
      </c>
      <c r="T172" s="932" t="s">
        <v>2050</v>
      </c>
      <c r="U172" s="932" t="s">
        <v>2051</v>
      </c>
      <c r="V172" s="932" t="s">
        <v>1927</v>
      </c>
      <c r="W172" s="932" t="s">
        <v>1927</v>
      </c>
      <c r="X172" s="932" t="s">
        <v>2151</v>
      </c>
      <c r="Y172" s="932" t="s">
        <v>2279</v>
      </c>
      <c r="Z172" s="932" t="s">
        <v>123</v>
      </c>
    </row>
    <row r="173" spans="1:26">
      <c r="A173" s="943" t="s">
        <v>2350</v>
      </c>
      <c r="B173" s="943" t="s">
        <v>2351</v>
      </c>
      <c r="C173" s="944">
        <v>12295</v>
      </c>
      <c r="D173" s="944">
        <v>1024.5999999999999</v>
      </c>
      <c r="E173" s="944">
        <v>1024.5999999999999</v>
      </c>
      <c r="F173" s="944">
        <v>1024.5999999999999</v>
      </c>
      <c r="G173" s="944">
        <v>1024.5999999999999</v>
      </c>
      <c r="H173" s="944">
        <v>1024.5999999999999</v>
      </c>
      <c r="I173" s="944">
        <v>6147.6</v>
      </c>
      <c r="J173" s="944">
        <v>0</v>
      </c>
      <c r="K173" s="944">
        <v>224.4</v>
      </c>
      <c r="L173" s="944">
        <v>200</v>
      </c>
      <c r="M173" s="944">
        <v>200</v>
      </c>
      <c r="N173" s="944">
        <v>200</v>
      </c>
      <c r="O173" s="944">
        <v>200</v>
      </c>
      <c r="P173" s="944">
        <v>0</v>
      </c>
      <c r="Q173" s="944">
        <v>0</v>
      </c>
      <c r="R173" s="932" t="s">
        <v>2150</v>
      </c>
      <c r="S173" s="932" t="s">
        <v>2278</v>
      </c>
      <c r="T173" s="932" t="s">
        <v>2053</v>
      </c>
      <c r="U173" s="932" t="s">
        <v>2054</v>
      </c>
      <c r="V173" s="932" t="s">
        <v>1927</v>
      </c>
      <c r="W173" s="932" t="s">
        <v>1927</v>
      </c>
      <c r="X173" s="932" t="s">
        <v>2151</v>
      </c>
      <c r="Y173" s="932" t="s">
        <v>2279</v>
      </c>
      <c r="Z173" s="932" t="s">
        <v>2055</v>
      </c>
    </row>
    <row r="174" spans="1:26">
      <c r="A174" s="943" t="s">
        <v>2352</v>
      </c>
      <c r="B174" s="943" t="s">
        <v>2353</v>
      </c>
      <c r="C174" s="944">
        <v>742.5</v>
      </c>
      <c r="D174" s="944">
        <v>0</v>
      </c>
      <c r="E174" s="944">
        <v>0</v>
      </c>
      <c r="F174" s="944">
        <v>0</v>
      </c>
      <c r="G174" s="944">
        <v>742.5</v>
      </c>
      <c r="H174" s="944">
        <v>0</v>
      </c>
      <c r="I174" s="944">
        <v>0</v>
      </c>
      <c r="J174" s="944">
        <v>0</v>
      </c>
      <c r="K174" s="944">
        <v>0</v>
      </c>
      <c r="L174" s="944">
        <v>0</v>
      </c>
      <c r="M174" s="944">
        <v>0</v>
      </c>
      <c r="N174" s="944">
        <v>0</v>
      </c>
      <c r="O174" s="944">
        <v>0</v>
      </c>
      <c r="P174" s="944">
        <v>0</v>
      </c>
      <c r="Q174" s="944">
        <v>0</v>
      </c>
      <c r="R174" s="932" t="s">
        <v>2150</v>
      </c>
      <c r="S174" s="932" t="s">
        <v>2278</v>
      </c>
      <c r="T174" s="932" t="s">
        <v>2057</v>
      </c>
      <c r="U174" s="932" t="s">
        <v>2058</v>
      </c>
      <c r="V174" s="932" t="s">
        <v>1927</v>
      </c>
      <c r="W174" s="932" t="s">
        <v>1927</v>
      </c>
      <c r="X174" s="932" t="s">
        <v>2151</v>
      </c>
      <c r="Y174" s="932" t="s">
        <v>2279</v>
      </c>
      <c r="Z174" s="932" t="s">
        <v>2059</v>
      </c>
    </row>
    <row r="175" spans="1:26">
      <c r="A175" s="943" t="s">
        <v>2354</v>
      </c>
      <c r="B175" s="943" t="s">
        <v>2355</v>
      </c>
      <c r="C175" s="944">
        <v>32670</v>
      </c>
      <c r="D175" s="944">
        <v>0</v>
      </c>
      <c r="E175" s="944">
        <v>5445</v>
      </c>
      <c r="F175" s="944">
        <v>2722.5</v>
      </c>
      <c r="G175" s="944">
        <v>10890</v>
      </c>
      <c r="H175" s="944">
        <v>0</v>
      </c>
      <c r="I175" s="944">
        <v>5445</v>
      </c>
      <c r="J175" s="944">
        <v>0</v>
      </c>
      <c r="K175" s="944">
        <v>0</v>
      </c>
      <c r="L175" s="944">
        <v>0</v>
      </c>
      <c r="M175" s="944">
        <v>8167.5</v>
      </c>
      <c r="N175" s="944">
        <v>0</v>
      </c>
      <c r="O175" s="944">
        <v>0</v>
      </c>
      <c r="P175" s="944">
        <v>0</v>
      </c>
      <c r="Q175" s="944">
        <v>0</v>
      </c>
      <c r="R175" s="932" t="s">
        <v>2150</v>
      </c>
      <c r="S175" s="932" t="s">
        <v>2278</v>
      </c>
      <c r="T175" s="932" t="s">
        <v>2061</v>
      </c>
      <c r="U175" s="932" t="s">
        <v>2062</v>
      </c>
      <c r="V175" s="932" t="s">
        <v>1927</v>
      </c>
      <c r="W175" s="932" t="s">
        <v>1927</v>
      </c>
      <c r="X175" s="932" t="s">
        <v>2151</v>
      </c>
      <c r="Y175" s="932" t="s">
        <v>2279</v>
      </c>
      <c r="Z175" s="932" t="s">
        <v>2063</v>
      </c>
    </row>
    <row r="176" spans="1:26">
      <c r="A176" s="943" t="s">
        <v>2356</v>
      </c>
      <c r="B176" s="943" t="s">
        <v>2357</v>
      </c>
      <c r="C176" s="944">
        <v>3041812.7</v>
      </c>
      <c r="D176" s="944">
        <v>252359</v>
      </c>
      <c r="E176" s="944">
        <v>327359</v>
      </c>
      <c r="F176" s="944">
        <v>252359</v>
      </c>
      <c r="G176" s="944">
        <v>198864</v>
      </c>
      <c r="H176" s="944">
        <v>244359</v>
      </c>
      <c r="I176" s="944">
        <v>252359</v>
      </c>
      <c r="J176" s="944">
        <v>252359</v>
      </c>
      <c r="K176" s="944">
        <v>252359</v>
      </c>
      <c r="L176" s="944">
        <v>252359</v>
      </c>
      <c r="M176" s="944">
        <v>252359</v>
      </c>
      <c r="N176" s="944">
        <v>252359</v>
      </c>
      <c r="O176" s="944">
        <v>252358.7</v>
      </c>
      <c r="P176" s="944">
        <v>0</v>
      </c>
      <c r="Q176" s="944">
        <v>0</v>
      </c>
      <c r="R176" s="932" t="s">
        <v>2150</v>
      </c>
      <c r="S176" s="932" t="s">
        <v>2278</v>
      </c>
      <c r="T176" s="932" t="s">
        <v>1927</v>
      </c>
      <c r="U176" s="932" t="s">
        <v>2065</v>
      </c>
      <c r="V176" s="932" t="s">
        <v>1927</v>
      </c>
      <c r="W176" s="932" t="s">
        <v>1927</v>
      </c>
      <c r="X176" s="932" t="s">
        <v>2151</v>
      </c>
      <c r="Y176" s="932" t="s">
        <v>2279</v>
      </c>
      <c r="Z176" s="932" t="s">
        <v>2066</v>
      </c>
    </row>
    <row r="177" spans="1:26">
      <c r="A177" s="943" t="s">
        <v>2358</v>
      </c>
      <c r="B177" s="943" t="s">
        <v>2359</v>
      </c>
      <c r="C177" s="944">
        <v>21505</v>
      </c>
      <c r="D177" s="944">
        <v>0</v>
      </c>
      <c r="E177" s="944">
        <v>75000</v>
      </c>
      <c r="F177" s="944">
        <v>0</v>
      </c>
      <c r="G177" s="944">
        <v>-53495</v>
      </c>
      <c r="H177" s="944">
        <v>0</v>
      </c>
      <c r="I177" s="944">
        <v>0</v>
      </c>
      <c r="J177" s="944">
        <v>0</v>
      </c>
      <c r="K177" s="944">
        <v>0</v>
      </c>
      <c r="L177" s="944">
        <v>0</v>
      </c>
      <c r="M177" s="944">
        <v>0</v>
      </c>
      <c r="N177" s="944">
        <v>0</v>
      </c>
      <c r="O177" s="944">
        <v>0</v>
      </c>
      <c r="P177" s="944">
        <v>0</v>
      </c>
      <c r="Q177" s="944">
        <v>0</v>
      </c>
      <c r="R177" s="932" t="s">
        <v>2150</v>
      </c>
      <c r="S177" s="932" t="s">
        <v>2278</v>
      </c>
      <c r="T177" s="932" t="s">
        <v>2068</v>
      </c>
      <c r="U177" s="932" t="s">
        <v>2069</v>
      </c>
      <c r="V177" s="932" t="s">
        <v>1927</v>
      </c>
      <c r="W177" s="932" t="s">
        <v>1927</v>
      </c>
      <c r="X177" s="932" t="s">
        <v>2151</v>
      </c>
      <c r="Y177" s="932" t="s">
        <v>2279</v>
      </c>
      <c r="Z177" s="932" t="s">
        <v>2066</v>
      </c>
    </row>
    <row r="178" spans="1:26">
      <c r="A178" s="943" t="s">
        <v>2360</v>
      </c>
      <c r="B178" s="943" t="s">
        <v>2361</v>
      </c>
      <c r="C178" s="944">
        <v>3020307.7</v>
      </c>
      <c r="D178" s="944">
        <v>252359</v>
      </c>
      <c r="E178" s="944">
        <v>252359</v>
      </c>
      <c r="F178" s="944">
        <v>252359</v>
      </c>
      <c r="G178" s="944">
        <v>252359</v>
      </c>
      <c r="H178" s="944">
        <v>244359</v>
      </c>
      <c r="I178" s="944">
        <v>252359</v>
      </c>
      <c r="J178" s="944">
        <v>252359</v>
      </c>
      <c r="K178" s="944">
        <v>252359</v>
      </c>
      <c r="L178" s="944">
        <v>252359</v>
      </c>
      <c r="M178" s="944">
        <v>252359</v>
      </c>
      <c r="N178" s="944">
        <v>252359</v>
      </c>
      <c r="O178" s="944">
        <v>252358.7</v>
      </c>
      <c r="P178" s="944">
        <v>0</v>
      </c>
      <c r="Q178" s="944">
        <v>0</v>
      </c>
      <c r="R178" s="932" t="s">
        <v>2150</v>
      </c>
      <c r="S178" s="932" t="s">
        <v>2278</v>
      </c>
      <c r="T178" s="932" t="s">
        <v>2071</v>
      </c>
      <c r="U178" s="932" t="s">
        <v>2072</v>
      </c>
      <c r="V178" s="932" t="s">
        <v>1927</v>
      </c>
      <c r="W178" s="932" t="s">
        <v>1927</v>
      </c>
      <c r="X178" s="932" t="s">
        <v>2151</v>
      </c>
      <c r="Y178" s="932" t="s">
        <v>2279</v>
      </c>
      <c r="Z178" s="932" t="s">
        <v>2073</v>
      </c>
    </row>
    <row r="179" spans="1:26">
      <c r="A179" s="943" t="s">
        <v>2362</v>
      </c>
      <c r="B179" s="943" t="s">
        <v>2363</v>
      </c>
      <c r="C179" s="944">
        <v>31700</v>
      </c>
      <c r="D179" s="944">
        <v>0</v>
      </c>
      <c r="E179" s="944">
        <v>0</v>
      </c>
      <c r="F179" s="944">
        <v>0</v>
      </c>
      <c r="G179" s="944">
        <v>0</v>
      </c>
      <c r="H179" s="944">
        <v>8000</v>
      </c>
      <c r="I179" s="944">
        <v>0</v>
      </c>
      <c r="J179" s="944">
        <v>0</v>
      </c>
      <c r="K179" s="944">
        <v>0</v>
      </c>
      <c r="L179" s="944">
        <v>0</v>
      </c>
      <c r="M179" s="944">
        <v>0</v>
      </c>
      <c r="N179" s="944">
        <v>0</v>
      </c>
      <c r="O179" s="944">
        <v>23700</v>
      </c>
      <c r="P179" s="944">
        <v>0</v>
      </c>
      <c r="Q179" s="944">
        <v>0</v>
      </c>
      <c r="R179" s="932" t="s">
        <v>2150</v>
      </c>
      <c r="S179" s="932" t="s">
        <v>2278</v>
      </c>
      <c r="T179" s="932" t="s">
        <v>1927</v>
      </c>
      <c r="U179" s="932" t="s">
        <v>2075</v>
      </c>
      <c r="V179" s="932" t="s">
        <v>1927</v>
      </c>
      <c r="W179" s="932" t="s">
        <v>1927</v>
      </c>
      <c r="X179" s="932" t="s">
        <v>2151</v>
      </c>
      <c r="Y179" s="932" t="s">
        <v>2279</v>
      </c>
      <c r="Z179" s="932" t="s">
        <v>2076</v>
      </c>
    </row>
    <row r="180" spans="1:26">
      <c r="A180" s="943" t="s">
        <v>2364</v>
      </c>
      <c r="B180" s="943" t="s">
        <v>2365</v>
      </c>
      <c r="C180" s="944">
        <v>31700</v>
      </c>
      <c r="D180" s="944">
        <v>0</v>
      </c>
      <c r="E180" s="944">
        <v>0</v>
      </c>
      <c r="F180" s="944">
        <v>0</v>
      </c>
      <c r="G180" s="944">
        <v>0</v>
      </c>
      <c r="H180" s="944">
        <v>8000</v>
      </c>
      <c r="I180" s="944">
        <v>0</v>
      </c>
      <c r="J180" s="944">
        <v>0</v>
      </c>
      <c r="K180" s="944">
        <v>0</v>
      </c>
      <c r="L180" s="944">
        <v>0</v>
      </c>
      <c r="M180" s="944">
        <v>0</v>
      </c>
      <c r="N180" s="944">
        <v>0</v>
      </c>
      <c r="O180" s="944">
        <v>23700</v>
      </c>
      <c r="P180" s="944">
        <v>0</v>
      </c>
      <c r="Q180" s="944">
        <v>0</v>
      </c>
      <c r="R180" s="932" t="s">
        <v>2150</v>
      </c>
      <c r="S180" s="932" t="s">
        <v>2278</v>
      </c>
      <c r="T180" s="932" t="s">
        <v>1927</v>
      </c>
      <c r="U180" s="932" t="s">
        <v>2078</v>
      </c>
      <c r="V180" s="932" t="s">
        <v>1927</v>
      </c>
      <c r="W180" s="932" t="s">
        <v>1927</v>
      </c>
      <c r="X180" s="932" t="s">
        <v>2151</v>
      </c>
      <c r="Y180" s="932" t="s">
        <v>2279</v>
      </c>
      <c r="Z180" s="932" t="s">
        <v>2079</v>
      </c>
    </row>
    <row r="181" spans="1:26">
      <c r="A181" s="943" t="s">
        <v>2366</v>
      </c>
      <c r="B181" s="943" t="s">
        <v>2367</v>
      </c>
      <c r="C181" s="944">
        <v>8000</v>
      </c>
      <c r="D181" s="944">
        <v>0</v>
      </c>
      <c r="E181" s="944">
        <v>0</v>
      </c>
      <c r="F181" s="944">
        <v>0</v>
      </c>
      <c r="G181" s="944">
        <v>0</v>
      </c>
      <c r="H181" s="944">
        <v>8000</v>
      </c>
      <c r="I181" s="944">
        <v>0</v>
      </c>
      <c r="J181" s="944">
        <v>0</v>
      </c>
      <c r="K181" s="944">
        <v>0</v>
      </c>
      <c r="L181" s="944">
        <v>0</v>
      </c>
      <c r="M181" s="944">
        <v>0</v>
      </c>
      <c r="N181" s="944">
        <v>0</v>
      </c>
      <c r="O181" s="944">
        <v>0</v>
      </c>
      <c r="P181" s="944">
        <v>0</v>
      </c>
      <c r="Q181" s="944">
        <v>0</v>
      </c>
      <c r="R181" s="932" t="s">
        <v>2150</v>
      </c>
      <c r="S181" s="932" t="s">
        <v>2278</v>
      </c>
      <c r="T181" s="932" t="s">
        <v>2081</v>
      </c>
      <c r="U181" s="932" t="s">
        <v>2082</v>
      </c>
      <c r="V181" s="932" t="s">
        <v>1927</v>
      </c>
      <c r="W181" s="932" t="s">
        <v>1927</v>
      </c>
      <c r="X181" s="932" t="s">
        <v>2151</v>
      </c>
      <c r="Y181" s="932" t="s">
        <v>2279</v>
      </c>
      <c r="Z181" s="932" t="s">
        <v>2083</v>
      </c>
    </row>
    <row r="182" spans="1:26">
      <c r="A182" s="943" t="s">
        <v>2368</v>
      </c>
      <c r="B182" s="943" t="s">
        <v>2369</v>
      </c>
      <c r="C182" s="944">
        <v>23700</v>
      </c>
      <c r="D182" s="944">
        <v>0</v>
      </c>
      <c r="E182" s="944">
        <v>0</v>
      </c>
      <c r="F182" s="944">
        <v>0</v>
      </c>
      <c r="G182" s="944">
        <v>0</v>
      </c>
      <c r="H182" s="944">
        <v>0</v>
      </c>
      <c r="I182" s="944">
        <v>0</v>
      </c>
      <c r="J182" s="944">
        <v>0</v>
      </c>
      <c r="K182" s="944">
        <v>0</v>
      </c>
      <c r="L182" s="944">
        <v>0</v>
      </c>
      <c r="M182" s="944">
        <v>0</v>
      </c>
      <c r="N182" s="944">
        <v>0</v>
      </c>
      <c r="O182" s="944">
        <v>23700</v>
      </c>
      <c r="P182" s="944">
        <v>0</v>
      </c>
      <c r="Q182" s="944">
        <v>0</v>
      </c>
      <c r="R182" s="932" t="s">
        <v>2150</v>
      </c>
      <c r="S182" s="932" t="s">
        <v>2278</v>
      </c>
      <c r="T182" s="932" t="s">
        <v>2085</v>
      </c>
      <c r="U182" s="932" t="s">
        <v>2086</v>
      </c>
      <c r="V182" s="932" t="s">
        <v>1927</v>
      </c>
      <c r="W182" s="932" t="s">
        <v>1927</v>
      </c>
      <c r="X182" s="932" t="s">
        <v>2151</v>
      </c>
      <c r="Y182" s="932" t="s">
        <v>2279</v>
      </c>
      <c r="Z182" s="932" t="s">
        <v>2087</v>
      </c>
    </row>
    <row r="183" spans="1:26">
      <c r="A183" s="943" t="s">
        <v>2370</v>
      </c>
      <c r="B183" s="943" t="s">
        <v>2371</v>
      </c>
      <c r="C183" s="944">
        <v>4500885.8</v>
      </c>
      <c r="D183" s="944">
        <v>361103.6</v>
      </c>
      <c r="E183" s="944">
        <v>464665.4</v>
      </c>
      <c r="F183" s="944">
        <v>375417.1</v>
      </c>
      <c r="G183" s="944">
        <v>321819.3</v>
      </c>
      <c r="H183" s="944">
        <v>365470.5</v>
      </c>
      <c r="I183" s="944">
        <v>391923.4</v>
      </c>
      <c r="J183" s="944">
        <v>362400.9</v>
      </c>
      <c r="K183" s="944">
        <v>349795.2</v>
      </c>
      <c r="L183" s="944">
        <v>362301.2</v>
      </c>
      <c r="M183" s="944">
        <v>370293.9</v>
      </c>
      <c r="N183" s="944">
        <v>358751.4</v>
      </c>
      <c r="O183" s="944">
        <v>416943.9</v>
      </c>
      <c r="P183" s="944">
        <v>0</v>
      </c>
      <c r="Q183" s="944">
        <v>0</v>
      </c>
      <c r="R183" s="932" t="s">
        <v>2150</v>
      </c>
      <c r="S183" s="932" t="s">
        <v>2278</v>
      </c>
      <c r="T183" s="932" t="s">
        <v>1927</v>
      </c>
      <c r="U183" s="932" t="s">
        <v>2089</v>
      </c>
      <c r="V183" s="932" t="s">
        <v>1927</v>
      </c>
      <c r="W183" s="932" t="s">
        <v>1927</v>
      </c>
      <c r="X183" s="932" t="s">
        <v>2151</v>
      </c>
      <c r="Y183" s="932" t="s">
        <v>2279</v>
      </c>
      <c r="Z183" s="932" t="s">
        <v>2090</v>
      </c>
    </row>
    <row r="184" spans="1:26">
      <c r="A184" s="943" t="s">
        <v>2372</v>
      </c>
      <c r="B184" s="943" t="s">
        <v>2373</v>
      </c>
      <c r="C184" s="944">
        <v>4000885.8</v>
      </c>
      <c r="D184" s="944">
        <v>319437</v>
      </c>
      <c r="E184" s="944">
        <v>422998.8</v>
      </c>
      <c r="F184" s="944">
        <v>333750.5</v>
      </c>
      <c r="G184" s="944">
        <v>280152.7</v>
      </c>
      <c r="H184" s="944">
        <v>323803.90000000002</v>
      </c>
      <c r="I184" s="944">
        <v>350256.8</v>
      </c>
      <c r="J184" s="944">
        <v>320734.3</v>
      </c>
      <c r="K184" s="944">
        <v>308128.59999999998</v>
      </c>
      <c r="L184" s="944">
        <v>320634.59999999998</v>
      </c>
      <c r="M184" s="944">
        <v>328627.3</v>
      </c>
      <c r="N184" s="944">
        <v>317084.79999999999</v>
      </c>
      <c r="O184" s="944">
        <v>375276.5</v>
      </c>
      <c r="P184" s="944">
        <v>0</v>
      </c>
      <c r="Q184" s="944">
        <v>0</v>
      </c>
      <c r="R184" s="932" t="s">
        <v>2150</v>
      </c>
      <c r="S184" s="932" t="s">
        <v>2278</v>
      </c>
      <c r="T184" s="932" t="s">
        <v>1927</v>
      </c>
      <c r="U184" s="932" t="s">
        <v>2092</v>
      </c>
      <c r="V184" s="932" t="s">
        <v>1927</v>
      </c>
      <c r="W184" s="932" t="s">
        <v>1927</v>
      </c>
      <c r="X184" s="932" t="s">
        <v>2151</v>
      </c>
      <c r="Y184" s="932" t="s">
        <v>2279</v>
      </c>
      <c r="Z184" s="932" t="s">
        <v>2093</v>
      </c>
    </row>
    <row r="185" spans="1:26">
      <c r="A185" s="943" t="s">
        <v>2374</v>
      </c>
      <c r="B185" s="943" t="s">
        <v>2375</v>
      </c>
      <c r="C185" s="944">
        <v>4000885.8</v>
      </c>
      <c r="D185" s="944">
        <v>319437</v>
      </c>
      <c r="E185" s="944">
        <v>422998.8</v>
      </c>
      <c r="F185" s="944">
        <v>333750.5</v>
      </c>
      <c r="G185" s="944">
        <v>280152.7</v>
      </c>
      <c r="H185" s="944">
        <v>323803.90000000002</v>
      </c>
      <c r="I185" s="944">
        <v>350256.8</v>
      </c>
      <c r="J185" s="944">
        <v>320734.3</v>
      </c>
      <c r="K185" s="944">
        <v>308128.59999999998</v>
      </c>
      <c r="L185" s="944">
        <v>320634.59999999998</v>
      </c>
      <c r="M185" s="944">
        <v>328627.3</v>
      </c>
      <c r="N185" s="944">
        <v>317084.79999999999</v>
      </c>
      <c r="O185" s="944">
        <v>375276.5</v>
      </c>
      <c r="P185" s="944">
        <v>0</v>
      </c>
      <c r="Q185" s="944">
        <v>0</v>
      </c>
      <c r="R185" s="932" t="s">
        <v>2150</v>
      </c>
      <c r="S185" s="932" t="s">
        <v>2278</v>
      </c>
      <c r="T185" s="932" t="s">
        <v>2095</v>
      </c>
      <c r="U185" s="932" t="s">
        <v>2096</v>
      </c>
      <c r="V185" s="932" t="s">
        <v>1927</v>
      </c>
      <c r="W185" s="932" t="s">
        <v>1927</v>
      </c>
      <c r="X185" s="932" t="s">
        <v>2151</v>
      </c>
      <c r="Y185" s="932" t="s">
        <v>2279</v>
      </c>
      <c r="Z185" s="932" t="s">
        <v>2093</v>
      </c>
    </row>
    <row r="186" spans="1:26">
      <c r="A186" s="943" t="s">
        <v>2376</v>
      </c>
      <c r="B186" s="943" t="s">
        <v>2377</v>
      </c>
      <c r="C186" s="944">
        <v>500000</v>
      </c>
      <c r="D186" s="944">
        <v>41666.6</v>
      </c>
      <c r="E186" s="944">
        <v>41666.6</v>
      </c>
      <c r="F186" s="944">
        <v>41666.6</v>
      </c>
      <c r="G186" s="944">
        <v>41666.6</v>
      </c>
      <c r="H186" s="944">
        <v>41666.6</v>
      </c>
      <c r="I186" s="944">
        <v>41666.6</v>
      </c>
      <c r="J186" s="944">
        <v>41666.6</v>
      </c>
      <c r="K186" s="944">
        <v>41666.6</v>
      </c>
      <c r="L186" s="944">
        <v>41666.6</v>
      </c>
      <c r="M186" s="944">
        <v>41666.6</v>
      </c>
      <c r="N186" s="944">
        <v>41666.6</v>
      </c>
      <c r="O186" s="944">
        <v>41667.4</v>
      </c>
      <c r="P186" s="944">
        <v>0</v>
      </c>
      <c r="Q186" s="944">
        <v>0</v>
      </c>
      <c r="R186" s="932" t="s">
        <v>2150</v>
      </c>
      <c r="S186" s="932" t="s">
        <v>2278</v>
      </c>
      <c r="T186" s="932" t="s">
        <v>1927</v>
      </c>
      <c r="U186" s="932" t="s">
        <v>2098</v>
      </c>
      <c r="V186" s="932" t="s">
        <v>1927</v>
      </c>
      <c r="W186" s="932" t="s">
        <v>1927</v>
      </c>
      <c r="X186" s="932" t="s">
        <v>2151</v>
      </c>
      <c r="Y186" s="932" t="s">
        <v>2279</v>
      </c>
      <c r="Z186" s="932" t="s">
        <v>2099</v>
      </c>
    </row>
    <row r="187" spans="1:26">
      <c r="A187" s="943" t="s">
        <v>2378</v>
      </c>
      <c r="B187" s="943" t="s">
        <v>2379</v>
      </c>
      <c r="C187" s="944">
        <v>400000</v>
      </c>
      <c r="D187" s="944">
        <v>33333.300000000003</v>
      </c>
      <c r="E187" s="944">
        <v>33333.300000000003</v>
      </c>
      <c r="F187" s="944">
        <v>33333.300000000003</v>
      </c>
      <c r="G187" s="944">
        <v>33333.300000000003</v>
      </c>
      <c r="H187" s="944">
        <v>33333.300000000003</v>
      </c>
      <c r="I187" s="944">
        <v>33333.300000000003</v>
      </c>
      <c r="J187" s="944">
        <v>33333.300000000003</v>
      </c>
      <c r="K187" s="944">
        <v>33333.300000000003</v>
      </c>
      <c r="L187" s="944">
        <v>33333.300000000003</v>
      </c>
      <c r="M187" s="944">
        <v>33333.300000000003</v>
      </c>
      <c r="N187" s="944">
        <v>33333.300000000003</v>
      </c>
      <c r="O187" s="944">
        <v>33333.699999999997</v>
      </c>
      <c r="P187" s="944">
        <v>0</v>
      </c>
      <c r="Q187" s="944">
        <v>0</v>
      </c>
      <c r="R187" s="932" t="s">
        <v>2150</v>
      </c>
      <c r="S187" s="932" t="s">
        <v>2278</v>
      </c>
      <c r="T187" s="932" t="s">
        <v>2101</v>
      </c>
      <c r="U187" s="932" t="s">
        <v>2102</v>
      </c>
      <c r="V187" s="932" t="s">
        <v>1927</v>
      </c>
      <c r="W187" s="932" t="s">
        <v>1927</v>
      </c>
      <c r="X187" s="932" t="s">
        <v>2151</v>
      </c>
      <c r="Y187" s="932" t="s">
        <v>2279</v>
      </c>
      <c r="Z187" s="932" t="s">
        <v>2103</v>
      </c>
    </row>
    <row r="188" spans="1:26">
      <c r="A188" s="943" t="s">
        <v>2380</v>
      </c>
      <c r="B188" s="943" t="s">
        <v>2381</v>
      </c>
      <c r="C188" s="944">
        <v>100000</v>
      </c>
      <c r="D188" s="944">
        <v>8333.2999999999993</v>
      </c>
      <c r="E188" s="944">
        <v>8333.2999999999993</v>
      </c>
      <c r="F188" s="944">
        <v>8333.2999999999993</v>
      </c>
      <c r="G188" s="944">
        <v>8333.2999999999993</v>
      </c>
      <c r="H188" s="944">
        <v>8333.2999999999993</v>
      </c>
      <c r="I188" s="944">
        <v>8333.2999999999993</v>
      </c>
      <c r="J188" s="944">
        <v>8333.2999999999993</v>
      </c>
      <c r="K188" s="944">
        <v>8333.2999999999993</v>
      </c>
      <c r="L188" s="944">
        <v>8333.2999999999993</v>
      </c>
      <c r="M188" s="944">
        <v>8333.2999999999993</v>
      </c>
      <c r="N188" s="944">
        <v>8333.2999999999993</v>
      </c>
      <c r="O188" s="944">
        <v>8333.7000000000007</v>
      </c>
      <c r="P188" s="944">
        <v>0</v>
      </c>
      <c r="Q188" s="944">
        <v>0</v>
      </c>
      <c r="R188" s="932" t="s">
        <v>2150</v>
      </c>
      <c r="S188" s="932" t="s">
        <v>2278</v>
      </c>
      <c r="T188" s="932" t="s">
        <v>2105</v>
      </c>
      <c r="U188" s="932" t="s">
        <v>2106</v>
      </c>
      <c r="V188" s="932" t="s">
        <v>1927</v>
      </c>
      <c r="W188" s="932" t="s">
        <v>1927</v>
      </c>
      <c r="X188" s="932" t="s">
        <v>2151</v>
      </c>
      <c r="Y188" s="932" t="s">
        <v>2279</v>
      </c>
      <c r="Z188" s="932" t="s">
        <v>2107</v>
      </c>
    </row>
    <row r="189" spans="1:26">
      <c r="A189" s="943" t="s">
        <v>2382</v>
      </c>
      <c r="B189" s="943" t="s">
        <v>2383</v>
      </c>
      <c r="C189" s="944">
        <v>169</v>
      </c>
      <c r="D189" s="944">
        <v>169</v>
      </c>
      <c r="E189" s="944">
        <v>169</v>
      </c>
      <c r="F189" s="944">
        <v>169</v>
      </c>
      <c r="G189" s="944">
        <v>169</v>
      </c>
      <c r="H189" s="944">
        <v>169</v>
      </c>
      <c r="I189" s="944">
        <v>169</v>
      </c>
      <c r="J189" s="944">
        <v>169</v>
      </c>
      <c r="K189" s="944">
        <v>169</v>
      </c>
      <c r="L189" s="944">
        <v>169</v>
      </c>
      <c r="M189" s="944">
        <v>169</v>
      </c>
      <c r="N189" s="944">
        <v>169</v>
      </c>
      <c r="O189" s="944">
        <v>169</v>
      </c>
      <c r="P189" s="944">
        <v>0</v>
      </c>
      <c r="Q189" s="944">
        <v>0</v>
      </c>
      <c r="R189" s="932" t="s">
        <v>2150</v>
      </c>
      <c r="S189" s="932" t="s">
        <v>2278</v>
      </c>
      <c r="T189" s="932" t="s">
        <v>1927</v>
      </c>
      <c r="U189" s="932" t="s">
        <v>2109</v>
      </c>
      <c r="V189" s="932" t="s">
        <v>1927</v>
      </c>
      <c r="W189" s="932" t="s">
        <v>1927</v>
      </c>
      <c r="X189" s="932" t="s">
        <v>2151</v>
      </c>
      <c r="Y189" s="932" t="s">
        <v>2279</v>
      </c>
      <c r="Z189" s="932" t="s">
        <v>2110</v>
      </c>
    </row>
    <row r="190" spans="1:26">
      <c r="A190" s="943" t="s">
        <v>2384</v>
      </c>
      <c r="B190" s="943" t="s">
        <v>2385</v>
      </c>
      <c r="C190" s="944">
        <v>1</v>
      </c>
      <c r="D190" s="944">
        <v>1</v>
      </c>
      <c r="E190" s="944">
        <v>1</v>
      </c>
      <c r="F190" s="944">
        <v>1</v>
      </c>
      <c r="G190" s="944">
        <v>1</v>
      </c>
      <c r="H190" s="944">
        <v>1</v>
      </c>
      <c r="I190" s="944">
        <v>1</v>
      </c>
      <c r="J190" s="944">
        <v>1</v>
      </c>
      <c r="K190" s="944">
        <v>1</v>
      </c>
      <c r="L190" s="944">
        <v>1</v>
      </c>
      <c r="M190" s="944">
        <v>1</v>
      </c>
      <c r="N190" s="944">
        <v>1</v>
      </c>
      <c r="O190" s="944">
        <v>1</v>
      </c>
      <c r="P190" s="944">
        <v>0</v>
      </c>
      <c r="Q190" s="944">
        <v>0</v>
      </c>
      <c r="R190" s="932" t="s">
        <v>2150</v>
      </c>
      <c r="S190" s="932" t="s">
        <v>2278</v>
      </c>
      <c r="T190" s="932" t="s">
        <v>1927</v>
      </c>
      <c r="U190" s="932" t="s">
        <v>2112</v>
      </c>
      <c r="V190" s="932" t="s">
        <v>1927</v>
      </c>
      <c r="W190" s="932" t="s">
        <v>1927</v>
      </c>
      <c r="X190" s="932" t="s">
        <v>2151</v>
      </c>
      <c r="Y190" s="932" t="s">
        <v>2279</v>
      </c>
      <c r="Z190" s="932" t="s">
        <v>2113</v>
      </c>
    </row>
    <row r="191" spans="1:26">
      <c r="A191" s="943" t="s">
        <v>2386</v>
      </c>
      <c r="B191" s="943" t="s">
        <v>2387</v>
      </c>
      <c r="C191" s="944">
        <v>1</v>
      </c>
      <c r="D191" s="944">
        <v>1</v>
      </c>
      <c r="E191" s="944">
        <v>1</v>
      </c>
      <c r="F191" s="944">
        <v>1</v>
      </c>
      <c r="G191" s="944">
        <v>1</v>
      </c>
      <c r="H191" s="944">
        <v>1</v>
      </c>
      <c r="I191" s="944">
        <v>1</v>
      </c>
      <c r="J191" s="944">
        <v>1</v>
      </c>
      <c r="K191" s="944">
        <v>1</v>
      </c>
      <c r="L191" s="944">
        <v>1</v>
      </c>
      <c r="M191" s="944">
        <v>1</v>
      </c>
      <c r="N191" s="944">
        <v>1</v>
      </c>
      <c r="O191" s="944">
        <v>1</v>
      </c>
      <c r="P191" s="944">
        <v>0</v>
      </c>
      <c r="Q191" s="944">
        <v>0</v>
      </c>
      <c r="R191" s="932" t="s">
        <v>2150</v>
      </c>
      <c r="S191" s="932" t="s">
        <v>2278</v>
      </c>
      <c r="T191" s="932" t="s">
        <v>2115</v>
      </c>
      <c r="U191" s="932" t="s">
        <v>2116</v>
      </c>
      <c r="V191" s="932" t="s">
        <v>1927</v>
      </c>
      <c r="W191" s="932" t="s">
        <v>1927</v>
      </c>
      <c r="X191" s="932" t="s">
        <v>2151</v>
      </c>
      <c r="Y191" s="932" t="s">
        <v>2279</v>
      </c>
      <c r="Z191" s="932" t="s">
        <v>2117</v>
      </c>
    </row>
    <row r="192" spans="1:26">
      <c r="A192" s="943" t="s">
        <v>2388</v>
      </c>
      <c r="B192" s="943" t="s">
        <v>2389</v>
      </c>
      <c r="C192" s="944">
        <v>84</v>
      </c>
      <c r="D192" s="944">
        <v>84</v>
      </c>
      <c r="E192" s="944">
        <v>84</v>
      </c>
      <c r="F192" s="944">
        <v>84</v>
      </c>
      <c r="G192" s="944">
        <v>84</v>
      </c>
      <c r="H192" s="944">
        <v>84</v>
      </c>
      <c r="I192" s="944">
        <v>84</v>
      </c>
      <c r="J192" s="944">
        <v>84</v>
      </c>
      <c r="K192" s="944">
        <v>84</v>
      </c>
      <c r="L192" s="944">
        <v>84</v>
      </c>
      <c r="M192" s="944">
        <v>84</v>
      </c>
      <c r="N192" s="944">
        <v>84</v>
      </c>
      <c r="O192" s="944">
        <v>84</v>
      </c>
      <c r="P192" s="944">
        <v>0</v>
      </c>
      <c r="Q192" s="944">
        <v>0</v>
      </c>
      <c r="R192" s="932" t="s">
        <v>2150</v>
      </c>
      <c r="S192" s="932" t="s">
        <v>2278</v>
      </c>
      <c r="T192" s="932" t="s">
        <v>1927</v>
      </c>
      <c r="U192" s="932" t="s">
        <v>2119</v>
      </c>
      <c r="V192" s="932" t="s">
        <v>1927</v>
      </c>
      <c r="W192" s="932" t="s">
        <v>1927</v>
      </c>
      <c r="X192" s="932" t="s">
        <v>2151</v>
      </c>
      <c r="Y192" s="932" t="s">
        <v>2279</v>
      </c>
      <c r="Z192" s="932" t="s">
        <v>2120</v>
      </c>
    </row>
    <row r="193" spans="1:26">
      <c r="A193" s="943" t="s">
        <v>2390</v>
      </c>
      <c r="B193" s="943" t="s">
        <v>2391</v>
      </c>
      <c r="C193" s="944">
        <v>2</v>
      </c>
      <c r="D193" s="944">
        <v>2</v>
      </c>
      <c r="E193" s="944">
        <v>2</v>
      </c>
      <c r="F193" s="944">
        <v>2</v>
      </c>
      <c r="G193" s="944">
        <v>2</v>
      </c>
      <c r="H193" s="944">
        <v>2</v>
      </c>
      <c r="I193" s="944">
        <v>2</v>
      </c>
      <c r="J193" s="944">
        <v>2</v>
      </c>
      <c r="K193" s="944">
        <v>2</v>
      </c>
      <c r="L193" s="944">
        <v>2</v>
      </c>
      <c r="M193" s="944">
        <v>2</v>
      </c>
      <c r="N193" s="944">
        <v>2</v>
      </c>
      <c r="O193" s="944">
        <v>2</v>
      </c>
      <c r="P193" s="944">
        <v>0</v>
      </c>
      <c r="Q193" s="944">
        <v>0</v>
      </c>
      <c r="R193" s="932" t="s">
        <v>2150</v>
      </c>
      <c r="S193" s="932" t="s">
        <v>2278</v>
      </c>
      <c r="T193" s="932" t="s">
        <v>2122</v>
      </c>
      <c r="U193" s="932" t="s">
        <v>2123</v>
      </c>
      <c r="V193" s="932" t="s">
        <v>1927</v>
      </c>
      <c r="W193" s="932" t="s">
        <v>1927</v>
      </c>
      <c r="X193" s="932" t="s">
        <v>2151</v>
      </c>
      <c r="Y193" s="932" t="s">
        <v>2279</v>
      </c>
      <c r="Z193" s="932" t="s">
        <v>2124</v>
      </c>
    </row>
    <row r="194" spans="1:26">
      <c r="A194" s="943" t="s">
        <v>2392</v>
      </c>
      <c r="B194" s="943" t="s">
        <v>2393</v>
      </c>
      <c r="C194" s="944">
        <v>70</v>
      </c>
      <c r="D194" s="944">
        <v>70</v>
      </c>
      <c r="E194" s="944">
        <v>70</v>
      </c>
      <c r="F194" s="944">
        <v>70</v>
      </c>
      <c r="G194" s="944">
        <v>70</v>
      </c>
      <c r="H194" s="944">
        <v>70</v>
      </c>
      <c r="I194" s="944">
        <v>70</v>
      </c>
      <c r="J194" s="944">
        <v>70</v>
      </c>
      <c r="K194" s="944">
        <v>70</v>
      </c>
      <c r="L194" s="944">
        <v>70</v>
      </c>
      <c r="M194" s="944">
        <v>70</v>
      </c>
      <c r="N194" s="944">
        <v>70</v>
      </c>
      <c r="O194" s="944">
        <v>70</v>
      </c>
      <c r="P194" s="944">
        <v>0</v>
      </c>
      <c r="Q194" s="944">
        <v>0</v>
      </c>
      <c r="R194" s="932" t="s">
        <v>2150</v>
      </c>
      <c r="S194" s="932" t="s">
        <v>2278</v>
      </c>
      <c r="T194" s="932" t="s">
        <v>2126</v>
      </c>
      <c r="U194" s="932" t="s">
        <v>2127</v>
      </c>
      <c r="V194" s="932" t="s">
        <v>1927</v>
      </c>
      <c r="W194" s="932" t="s">
        <v>1927</v>
      </c>
      <c r="X194" s="932" t="s">
        <v>2151</v>
      </c>
      <c r="Y194" s="932" t="s">
        <v>2279</v>
      </c>
      <c r="Z194" s="932" t="s">
        <v>2128</v>
      </c>
    </row>
    <row r="195" spans="1:26">
      <c r="A195" s="943" t="s">
        <v>2394</v>
      </c>
      <c r="B195" s="943" t="s">
        <v>2395</v>
      </c>
      <c r="C195" s="944">
        <v>12</v>
      </c>
      <c r="D195" s="944">
        <v>12</v>
      </c>
      <c r="E195" s="944">
        <v>12</v>
      </c>
      <c r="F195" s="944">
        <v>12</v>
      </c>
      <c r="G195" s="944">
        <v>12</v>
      </c>
      <c r="H195" s="944">
        <v>12</v>
      </c>
      <c r="I195" s="944">
        <v>12</v>
      </c>
      <c r="J195" s="944">
        <v>12</v>
      </c>
      <c r="K195" s="944">
        <v>12</v>
      </c>
      <c r="L195" s="944">
        <v>12</v>
      </c>
      <c r="M195" s="944">
        <v>12</v>
      </c>
      <c r="N195" s="944">
        <v>12</v>
      </c>
      <c r="O195" s="944">
        <v>12</v>
      </c>
      <c r="P195" s="944">
        <v>0</v>
      </c>
      <c r="Q195" s="944">
        <v>0</v>
      </c>
      <c r="R195" s="932" t="s">
        <v>2150</v>
      </c>
      <c r="S195" s="932" t="s">
        <v>2278</v>
      </c>
      <c r="T195" s="932" t="s">
        <v>2130</v>
      </c>
      <c r="U195" s="932" t="s">
        <v>2131</v>
      </c>
      <c r="V195" s="932" t="s">
        <v>1927</v>
      </c>
      <c r="W195" s="932" t="s">
        <v>1927</v>
      </c>
      <c r="X195" s="932" t="s">
        <v>2151</v>
      </c>
      <c r="Y195" s="932" t="s">
        <v>2279</v>
      </c>
      <c r="Z195" s="932" t="s">
        <v>2132</v>
      </c>
    </row>
    <row r="196" spans="1:26">
      <c r="A196" s="943" t="s">
        <v>2396</v>
      </c>
      <c r="B196" s="943" t="s">
        <v>2397</v>
      </c>
      <c r="C196" s="944">
        <v>84</v>
      </c>
      <c r="D196" s="944">
        <v>84</v>
      </c>
      <c r="E196" s="944">
        <v>84</v>
      </c>
      <c r="F196" s="944">
        <v>84</v>
      </c>
      <c r="G196" s="944">
        <v>84</v>
      </c>
      <c r="H196" s="944">
        <v>84</v>
      </c>
      <c r="I196" s="944">
        <v>84</v>
      </c>
      <c r="J196" s="944">
        <v>84</v>
      </c>
      <c r="K196" s="944">
        <v>84</v>
      </c>
      <c r="L196" s="944">
        <v>84</v>
      </c>
      <c r="M196" s="944">
        <v>84</v>
      </c>
      <c r="N196" s="944">
        <v>84</v>
      </c>
      <c r="O196" s="944">
        <v>84</v>
      </c>
      <c r="P196" s="944">
        <v>0</v>
      </c>
      <c r="Q196" s="944">
        <v>0</v>
      </c>
      <c r="R196" s="932" t="s">
        <v>2150</v>
      </c>
      <c r="S196" s="932" t="s">
        <v>2278</v>
      </c>
      <c r="T196" s="932" t="s">
        <v>1927</v>
      </c>
      <c r="U196" s="932" t="s">
        <v>2134</v>
      </c>
      <c r="V196" s="932" t="s">
        <v>1927</v>
      </c>
      <c r="W196" s="932" t="s">
        <v>1927</v>
      </c>
      <c r="X196" s="932" t="s">
        <v>2151</v>
      </c>
      <c r="Y196" s="932" t="s">
        <v>2279</v>
      </c>
      <c r="Z196" s="932" t="s">
        <v>2135</v>
      </c>
    </row>
    <row r="197" spans="1:26">
      <c r="A197" s="943" t="s">
        <v>2398</v>
      </c>
      <c r="B197" s="943" t="s">
        <v>2399</v>
      </c>
      <c r="C197" s="944">
        <v>7</v>
      </c>
      <c r="D197" s="944">
        <v>7</v>
      </c>
      <c r="E197" s="944">
        <v>7</v>
      </c>
      <c r="F197" s="944">
        <v>7</v>
      </c>
      <c r="G197" s="944">
        <v>7</v>
      </c>
      <c r="H197" s="944">
        <v>7</v>
      </c>
      <c r="I197" s="944">
        <v>7</v>
      </c>
      <c r="J197" s="944">
        <v>7</v>
      </c>
      <c r="K197" s="944">
        <v>7</v>
      </c>
      <c r="L197" s="944">
        <v>7</v>
      </c>
      <c r="M197" s="944">
        <v>7</v>
      </c>
      <c r="N197" s="944">
        <v>7</v>
      </c>
      <c r="O197" s="944">
        <v>7</v>
      </c>
      <c r="P197" s="944">
        <v>0</v>
      </c>
      <c r="Q197" s="944">
        <v>0</v>
      </c>
      <c r="R197" s="932" t="s">
        <v>2150</v>
      </c>
      <c r="S197" s="932" t="s">
        <v>2278</v>
      </c>
      <c r="T197" s="932" t="s">
        <v>2137</v>
      </c>
      <c r="U197" s="932" t="s">
        <v>2138</v>
      </c>
      <c r="V197" s="932" t="s">
        <v>1927</v>
      </c>
      <c r="W197" s="932" t="s">
        <v>1927</v>
      </c>
      <c r="X197" s="932" t="s">
        <v>2151</v>
      </c>
      <c r="Y197" s="932" t="s">
        <v>2279</v>
      </c>
      <c r="Z197" s="932" t="s">
        <v>2139</v>
      </c>
    </row>
    <row r="198" spans="1:26">
      <c r="A198" s="943" t="s">
        <v>2400</v>
      </c>
      <c r="B198" s="943" t="s">
        <v>2401</v>
      </c>
      <c r="C198" s="944">
        <v>1</v>
      </c>
      <c r="D198" s="944">
        <v>1</v>
      </c>
      <c r="E198" s="944">
        <v>1</v>
      </c>
      <c r="F198" s="944">
        <v>1</v>
      </c>
      <c r="G198" s="944">
        <v>1</v>
      </c>
      <c r="H198" s="944">
        <v>1</v>
      </c>
      <c r="I198" s="944">
        <v>1</v>
      </c>
      <c r="J198" s="944">
        <v>1</v>
      </c>
      <c r="K198" s="944">
        <v>1</v>
      </c>
      <c r="L198" s="944">
        <v>1</v>
      </c>
      <c r="M198" s="944">
        <v>1</v>
      </c>
      <c r="N198" s="944">
        <v>1</v>
      </c>
      <c r="O198" s="944">
        <v>1</v>
      </c>
      <c r="P198" s="944">
        <v>0</v>
      </c>
      <c r="Q198" s="944">
        <v>0</v>
      </c>
      <c r="R198" s="932" t="s">
        <v>2150</v>
      </c>
      <c r="S198" s="932" t="s">
        <v>2278</v>
      </c>
      <c r="T198" s="932" t="s">
        <v>2141</v>
      </c>
      <c r="U198" s="932" t="s">
        <v>2142</v>
      </c>
      <c r="V198" s="932" t="s">
        <v>1927</v>
      </c>
      <c r="W198" s="932" t="s">
        <v>1927</v>
      </c>
      <c r="X198" s="932" t="s">
        <v>2151</v>
      </c>
      <c r="Y198" s="932" t="s">
        <v>2279</v>
      </c>
      <c r="Z198" s="932" t="s">
        <v>2143</v>
      </c>
    </row>
    <row r="199" spans="1:26">
      <c r="A199" s="943" t="s">
        <v>2402</v>
      </c>
      <c r="B199" s="943" t="s">
        <v>2403</v>
      </c>
      <c r="C199" s="944">
        <v>76</v>
      </c>
      <c r="D199" s="944">
        <v>76</v>
      </c>
      <c r="E199" s="944">
        <v>76</v>
      </c>
      <c r="F199" s="944">
        <v>76</v>
      </c>
      <c r="G199" s="944">
        <v>76</v>
      </c>
      <c r="H199" s="944">
        <v>76</v>
      </c>
      <c r="I199" s="944">
        <v>76</v>
      </c>
      <c r="J199" s="944">
        <v>76</v>
      </c>
      <c r="K199" s="944">
        <v>76</v>
      </c>
      <c r="L199" s="944">
        <v>76</v>
      </c>
      <c r="M199" s="944">
        <v>76</v>
      </c>
      <c r="N199" s="944">
        <v>76</v>
      </c>
      <c r="O199" s="944">
        <v>76</v>
      </c>
      <c r="P199" s="944">
        <v>0</v>
      </c>
      <c r="Q199" s="944">
        <v>0</v>
      </c>
      <c r="R199" s="932" t="s">
        <v>2150</v>
      </c>
      <c r="S199" s="932" t="s">
        <v>2278</v>
      </c>
      <c r="T199" s="932" t="s">
        <v>2145</v>
      </c>
      <c r="U199" s="932" t="s">
        <v>2146</v>
      </c>
      <c r="V199" s="932" t="s">
        <v>1927</v>
      </c>
      <c r="W199" s="932" t="s">
        <v>1927</v>
      </c>
      <c r="X199" s="932" t="s">
        <v>2151</v>
      </c>
      <c r="Y199" s="932" t="s">
        <v>2279</v>
      </c>
      <c r="Z199" s="932" t="s">
        <v>2147</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workbookViewId="0">
      <selection activeCell="H14" sqref="H14"/>
    </sheetView>
  </sheetViews>
  <sheetFormatPr defaultRowHeight="11.25"/>
  <cols>
    <col min="1" max="1" width="2.85546875" style="960" bestFit="1" customWidth="1"/>
    <col min="2" max="2" width="66.28515625" style="945" customWidth="1"/>
    <col min="3" max="3" width="11.85546875" style="945" customWidth="1"/>
    <col min="4" max="4" width="10.42578125" style="945" customWidth="1"/>
    <col min="5" max="5" width="9.42578125" style="945" customWidth="1"/>
    <col min="6" max="6" width="11.28515625" style="945" customWidth="1"/>
    <col min="7" max="7" width="15.140625" style="961" customWidth="1"/>
    <col min="8" max="8" width="16.85546875" style="945" bestFit="1" customWidth="1"/>
    <col min="9" max="9" width="12.42578125" style="945" bestFit="1" customWidth="1"/>
    <col min="10" max="10" width="14.28515625" style="945" bestFit="1" customWidth="1"/>
    <col min="11" max="16384" width="9.140625" style="945"/>
  </cols>
  <sheetData>
    <row r="1" spans="1:10" ht="19.5" customHeight="1">
      <c r="A1" s="1663" t="s">
        <v>2404</v>
      </c>
      <c r="B1" s="1663"/>
      <c r="C1" s="1663"/>
      <c r="D1" s="1663"/>
      <c r="E1" s="1663"/>
      <c r="F1" s="1663"/>
      <c r="G1" s="1663"/>
    </row>
    <row r="2" spans="1:10" ht="27" customHeight="1">
      <c r="A2" s="1465" t="s">
        <v>2405</v>
      </c>
      <c r="B2" s="1476"/>
      <c r="C2" s="1476"/>
      <c r="D2" s="1476"/>
      <c r="E2" s="1476"/>
      <c r="F2" s="1476"/>
      <c r="G2" s="1477"/>
    </row>
    <row r="3" spans="1:10" ht="12.75" customHeight="1">
      <c r="A3" s="1458" t="s">
        <v>1</v>
      </c>
      <c r="B3" s="1458" t="s">
        <v>411</v>
      </c>
      <c r="C3" s="1458" t="s">
        <v>2406</v>
      </c>
      <c r="D3" s="1458" t="s">
        <v>412</v>
      </c>
      <c r="E3" s="1463" t="s">
        <v>2407</v>
      </c>
      <c r="F3" s="1458" t="s">
        <v>413</v>
      </c>
      <c r="G3" s="1459" t="s">
        <v>878</v>
      </c>
    </row>
    <row r="4" spans="1:10" ht="25.5" customHeight="1">
      <c r="A4" s="1458"/>
      <c r="B4" s="1458"/>
      <c r="C4" s="1462"/>
      <c r="D4" s="1458"/>
      <c r="E4" s="1464"/>
      <c r="F4" s="1458"/>
      <c r="G4" s="1459"/>
    </row>
    <row r="5" spans="1:10" ht="15.75" customHeight="1">
      <c r="A5" s="1461" t="s">
        <v>879</v>
      </c>
      <c r="B5" s="1461"/>
      <c r="C5" s="1461"/>
      <c r="D5" s="1461"/>
      <c r="E5" s="1461"/>
      <c r="F5" s="1461"/>
      <c r="G5" s="1461"/>
    </row>
    <row r="6" spans="1:10" ht="15.75" customHeight="1">
      <c r="A6" s="286">
        <v>1</v>
      </c>
      <c r="B6" s="508" t="s">
        <v>2408</v>
      </c>
      <c r="C6" s="286">
        <v>10</v>
      </c>
      <c r="D6" s="508">
        <v>32</v>
      </c>
      <c r="E6" s="286">
        <v>8</v>
      </c>
      <c r="F6" s="287">
        <v>16000</v>
      </c>
      <c r="G6" s="385">
        <f>E6*F6*C6</f>
        <v>1280000</v>
      </c>
    </row>
    <row r="7" spans="1:10" ht="15.75" customHeight="1">
      <c r="A7" s="286">
        <v>2</v>
      </c>
      <c r="B7" s="508" t="s">
        <v>2409</v>
      </c>
      <c r="C7" s="286">
        <v>258</v>
      </c>
      <c r="D7" s="508">
        <v>44</v>
      </c>
      <c r="E7" s="286">
        <v>8</v>
      </c>
      <c r="F7" s="287">
        <v>16000</v>
      </c>
      <c r="G7" s="385">
        <f t="shared" ref="G7:G9" si="0">E7*F7*C7</f>
        <v>33024000</v>
      </c>
    </row>
    <row r="8" spans="1:10" ht="15.75" customHeight="1">
      <c r="A8" s="286">
        <v>3</v>
      </c>
      <c r="B8" s="508" t="s">
        <v>2410</v>
      </c>
      <c r="C8" s="286">
        <v>370</v>
      </c>
      <c r="D8" s="508">
        <v>44</v>
      </c>
      <c r="E8" s="286">
        <v>11</v>
      </c>
      <c r="F8" s="287">
        <v>16000</v>
      </c>
      <c r="G8" s="385">
        <f t="shared" si="0"/>
        <v>65120000</v>
      </c>
    </row>
    <row r="9" spans="1:10" ht="15.75" customHeight="1">
      <c r="A9" s="286">
        <v>4</v>
      </c>
      <c r="B9" s="508" t="s">
        <v>2411</v>
      </c>
      <c r="C9" s="286">
        <v>350</v>
      </c>
      <c r="D9" s="508">
        <v>12</v>
      </c>
      <c r="E9" s="286">
        <v>3</v>
      </c>
      <c r="F9" s="287">
        <v>16000</v>
      </c>
      <c r="G9" s="385">
        <f t="shared" si="0"/>
        <v>16800000</v>
      </c>
    </row>
    <row r="10" spans="1:10" ht="17.25" customHeight="1">
      <c r="A10" s="1664" t="s">
        <v>472</v>
      </c>
      <c r="B10" s="1466"/>
      <c r="C10" s="1466"/>
      <c r="D10" s="1466"/>
      <c r="E10" s="1466"/>
      <c r="F10" s="1467"/>
      <c r="G10" s="386">
        <f>SUM(G6:G9)</f>
        <v>116224000</v>
      </c>
    </row>
    <row r="11" spans="1:10" ht="15.75" customHeight="1">
      <c r="A11" s="1475" t="s">
        <v>2412</v>
      </c>
      <c r="B11" s="1475"/>
      <c r="C11" s="510"/>
      <c r="D11" s="507"/>
      <c r="E11" s="510"/>
      <c r="F11" s="389"/>
      <c r="G11" s="396"/>
    </row>
    <row r="12" spans="1:10" ht="15.75" customHeight="1">
      <c r="A12" s="286" t="s">
        <v>889</v>
      </c>
      <c r="B12" s="508" t="s">
        <v>2413</v>
      </c>
      <c r="C12" s="286">
        <v>10</v>
      </c>
      <c r="D12" s="508">
        <v>32</v>
      </c>
      <c r="E12" s="286">
        <v>8</v>
      </c>
      <c r="F12" s="385">
        <v>300000</v>
      </c>
      <c r="G12" s="385">
        <f>E12*F12*C12</f>
        <v>24000000</v>
      </c>
    </row>
    <row r="13" spans="1:10" ht="15.75" customHeight="1">
      <c r="A13" s="286" t="s">
        <v>891</v>
      </c>
      <c r="B13" s="508" t="s">
        <v>2414</v>
      </c>
      <c r="C13" s="286">
        <v>258</v>
      </c>
      <c r="D13" s="508">
        <v>44</v>
      </c>
      <c r="E13" s="286">
        <v>8</v>
      </c>
      <c r="F13" s="385">
        <v>300000</v>
      </c>
      <c r="G13" s="385">
        <f t="shared" ref="G13:G14" si="1">E13*F13*C13</f>
        <v>619200000</v>
      </c>
    </row>
    <row r="14" spans="1:10" ht="15.75" customHeight="1">
      <c r="A14" s="286" t="s">
        <v>893</v>
      </c>
      <c r="B14" s="508" t="s">
        <v>2415</v>
      </c>
      <c r="C14" s="286">
        <v>370</v>
      </c>
      <c r="D14" s="508">
        <v>44</v>
      </c>
      <c r="E14" s="286">
        <v>11</v>
      </c>
      <c r="F14" s="385">
        <v>300000</v>
      </c>
      <c r="G14" s="385">
        <f t="shared" si="1"/>
        <v>1221000000</v>
      </c>
    </row>
    <row r="15" spans="1:10" ht="13.5" customHeight="1">
      <c r="A15" s="1471" t="s">
        <v>472</v>
      </c>
      <c r="B15" s="1665"/>
      <c r="C15" s="1665"/>
      <c r="D15" s="1665"/>
      <c r="E15" s="1665"/>
      <c r="F15" s="1472"/>
      <c r="G15" s="386">
        <f>SUM(G12:G14)</f>
        <v>1864200000</v>
      </c>
      <c r="H15" s="946"/>
      <c r="J15" s="946"/>
    </row>
    <row r="16" spans="1:10" ht="16.5" customHeight="1">
      <c r="A16" s="1478" t="s">
        <v>2416</v>
      </c>
      <c r="B16" s="1479"/>
      <c r="C16" s="1479"/>
      <c r="D16" s="1479"/>
      <c r="E16" s="1479"/>
      <c r="F16" s="1480"/>
      <c r="G16" s="386">
        <f>+G15+G10</f>
        <v>1980424000</v>
      </c>
      <c r="H16" s="946"/>
      <c r="J16" s="946"/>
    </row>
    <row r="17" spans="1:8" ht="12.75">
      <c r="A17" s="1475" t="s">
        <v>897</v>
      </c>
      <c r="B17" s="1475"/>
      <c r="C17" s="1475"/>
      <c r="D17" s="1475"/>
      <c r="E17" s="1475"/>
      <c r="F17" s="1475"/>
      <c r="G17" s="1475"/>
    </row>
    <row r="18" spans="1:8" ht="25.5">
      <c r="A18" s="286">
        <v>1</v>
      </c>
      <c r="B18" s="508" t="s">
        <v>2417</v>
      </c>
      <c r="C18" s="286">
        <v>170</v>
      </c>
      <c r="D18" s="508">
        <v>32</v>
      </c>
      <c r="E18" s="508">
        <v>9</v>
      </c>
      <c r="F18" s="385">
        <v>16000</v>
      </c>
      <c r="G18" s="385">
        <f>E18*F18*C18</f>
        <v>24480000</v>
      </c>
    </row>
    <row r="19" spans="1:8" s="947" customFormat="1" ht="25.5">
      <c r="A19" s="286">
        <v>2</v>
      </c>
      <c r="B19" s="508" t="s">
        <v>2418</v>
      </c>
      <c r="C19" s="286">
        <v>150</v>
      </c>
      <c r="D19" s="508">
        <v>12</v>
      </c>
      <c r="E19" s="508">
        <v>3</v>
      </c>
      <c r="F19" s="385">
        <v>16000</v>
      </c>
      <c r="G19" s="385">
        <f t="shared" ref="G19:G20" si="2">E19*F19*C19</f>
        <v>7200000</v>
      </c>
    </row>
    <row r="20" spans="1:8" s="947" customFormat="1" ht="25.5">
      <c r="A20" s="286">
        <v>3</v>
      </c>
      <c r="B20" s="508" t="s">
        <v>2419</v>
      </c>
      <c r="C20" s="286">
        <v>170</v>
      </c>
      <c r="D20" s="508">
        <v>36</v>
      </c>
      <c r="E20" s="508">
        <v>9</v>
      </c>
      <c r="F20" s="385">
        <v>300000</v>
      </c>
      <c r="G20" s="385">
        <f t="shared" si="2"/>
        <v>459000000</v>
      </c>
    </row>
    <row r="21" spans="1:8" s="947" customFormat="1" ht="12.75">
      <c r="A21" s="1471" t="s">
        <v>472</v>
      </c>
      <c r="B21" s="1665"/>
      <c r="C21" s="1665"/>
      <c r="D21" s="1665"/>
      <c r="E21" s="1665"/>
      <c r="F21" s="1472"/>
      <c r="G21" s="386">
        <f>+SUM(G18:G20)</f>
        <v>490680000</v>
      </c>
      <c r="H21" s="948"/>
    </row>
    <row r="22" spans="1:8" s="947" customFormat="1" ht="12.75">
      <c r="A22" s="1478" t="s">
        <v>903</v>
      </c>
      <c r="B22" s="1479"/>
      <c r="C22" s="1479"/>
      <c r="D22" s="1479"/>
      <c r="E22" s="1479"/>
      <c r="F22" s="1479"/>
      <c r="G22" s="1480"/>
    </row>
    <row r="23" spans="1:8" s="947" customFormat="1" ht="12.75">
      <c r="A23" s="286">
        <v>4</v>
      </c>
      <c r="B23" s="1481" t="s">
        <v>2420</v>
      </c>
      <c r="C23" s="286">
        <v>5</v>
      </c>
      <c r="D23" s="508">
        <v>12</v>
      </c>
      <c r="E23" s="508">
        <v>1</v>
      </c>
      <c r="F23" s="385">
        <v>16000</v>
      </c>
      <c r="G23" s="385">
        <f>E23*F23*C23</f>
        <v>80000</v>
      </c>
    </row>
    <row r="24" spans="1:8" s="947" customFormat="1" ht="12.75">
      <c r="A24" s="286">
        <v>5</v>
      </c>
      <c r="B24" s="1481"/>
      <c r="C24" s="286">
        <v>11</v>
      </c>
      <c r="D24" s="508">
        <v>8</v>
      </c>
      <c r="E24" s="508">
        <v>3</v>
      </c>
      <c r="F24" s="385">
        <v>16000</v>
      </c>
      <c r="G24" s="385">
        <f t="shared" ref="G24:G27" si="3">E24*F24*C24</f>
        <v>528000</v>
      </c>
    </row>
    <row r="25" spans="1:8" s="947" customFormat="1" ht="12.75">
      <c r="A25" s="286">
        <v>7</v>
      </c>
      <c r="B25" s="1481" t="s">
        <v>2421</v>
      </c>
      <c r="C25" s="286">
        <v>5</v>
      </c>
      <c r="D25" s="508">
        <v>12</v>
      </c>
      <c r="E25" s="508">
        <v>1</v>
      </c>
      <c r="F25" s="385">
        <v>300000</v>
      </c>
      <c r="G25" s="385">
        <f t="shared" si="3"/>
        <v>1500000</v>
      </c>
    </row>
    <row r="26" spans="1:8" s="947" customFormat="1" ht="12.75">
      <c r="A26" s="286">
        <v>8</v>
      </c>
      <c r="B26" s="1481"/>
      <c r="C26" s="286">
        <v>1</v>
      </c>
      <c r="D26" s="508">
        <v>8</v>
      </c>
      <c r="E26" s="508">
        <v>2</v>
      </c>
      <c r="F26" s="385">
        <v>300000</v>
      </c>
      <c r="G26" s="385">
        <f t="shared" si="3"/>
        <v>600000</v>
      </c>
    </row>
    <row r="27" spans="1:8" s="947" customFormat="1" ht="25.5">
      <c r="A27" s="286">
        <v>10</v>
      </c>
      <c r="B27" s="508" t="s">
        <v>2422</v>
      </c>
      <c r="C27" s="286">
        <v>60</v>
      </c>
      <c r="D27" s="508">
        <v>12</v>
      </c>
      <c r="E27" s="508">
        <v>3</v>
      </c>
      <c r="F27" s="385">
        <v>16000</v>
      </c>
      <c r="G27" s="385">
        <f t="shared" si="3"/>
        <v>2880000</v>
      </c>
      <c r="H27" s="949"/>
    </row>
    <row r="28" spans="1:8" s="947" customFormat="1" ht="12.75">
      <c r="A28" s="1465" t="s">
        <v>472</v>
      </c>
      <c r="B28" s="1476"/>
      <c r="C28" s="1476"/>
      <c r="D28" s="1476"/>
      <c r="E28" s="1476"/>
      <c r="F28" s="1477"/>
      <c r="G28" s="386">
        <f>SUM(G23:G27)</f>
        <v>5588000</v>
      </c>
      <c r="H28" s="948"/>
    </row>
    <row r="29" spans="1:8" ht="12.75">
      <c r="A29" s="1475" t="s">
        <v>909</v>
      </c>
      <c r="B29" s="1475"/>
      <c r="C29" s="1475"/>
      <c r="D29" s="1475"/>
      <c r="E29" s="1475"/>
      <c r="F29" s="1475"/>
      <c r="G29" s="1475"/>
    </row>
    <row r="30" spans="1:8" ht="12.75">
      <c r="A30" s="286">
        <v>1</v>
      </c>
      <c r="B30" s="508" t="s">
        <v>910</v>
      </c>
      <c r="C30" s="286">
        <v>20</v>
      </c>
      <c r="D30" s="508">
        <v>16</v>
      </c>
      <c r="E30" s="508">
        <v>4</v>
      </c>
      <c r="F30" s="385">
        <v>16000</v>
      </c>
      <c r="G30" s="385">
        <f>E30*F30*C30</f>
        <v>1280000</v>
      </c>
    </row>
    <row r="31" spans="1:8" ht="12.75">
      <c r="A31" s="286">
        <v>2</v>
      </c>
      <c r="B31" s="508" t="s">
        <v>912</v>
      </c>
      <c r="C31" s="286">
        <v>350</v>
      </c>
      <c r="D31" s="508">
        <v>12</v>
      </c>
      <c r="E31" s="508">
        <v>3</v>
      </c>
      <c r="F31" s="385">
        <v>16000</v>
      </c>
      <c r="G31" s="385">
        <f t="shared" ref="G31:G33" si="4">E31*F31*C31</f>
        <v>16800000</v>
      </c>
    </row>
    <row r="32" spans="1:8" ht="25.5">
      <c r="A32" s="286">
        <v>3</v>
      </c>
      <c r="B32" s="508" t="s">
        <v>913</v>
      </c>
      <c r="C32" s="286">
        <v>20</v>
      </c>
      <c r="D32" s="508">
        <v>16</v>
      </c>
      <c r="E32" s="508">
        <v>1</v>
      </c>
      <c r="F32" s="385">
        <v>300000</v>
      </c>
      <c r="G32" s="385">
        <f t="shared" si="4"/>
        <v>6000000</v>
      </c>
    </row>
    <row r="33" spans="1:9" ht="12.75">
      <c r="A33" s="286">
        <v>4</v>
      </c>
      <c r="B33" s="508" t="s">
        <v>914</v>
      </c>
      <c r="C33" s="286">
        <v>150</v>
      </c>
      <c r="D33" s="508">
        <v>4</v>
      </c>
      <c r="E33" s="508">
        <v>1</v>
      </c>
      <c r="F33" s="385">
        <v>16000</v>
      </c>
      <c r="G33" s="385">
        <f t="shared" si="4"/>
        <v>2400000</v>
      </c>
    </row>
    <row r="34" spans="1:9" ht="12.75">
      <c r="A34" s="1465" t="s">
        <v>472</v>
      </c>
      <c r="B34" s="1476"/>
      <c r="C34" s="1476"/>
      <c r="D34" s="1476"/>
      <c r="E34" s="1476"/>
      <c r="F34" s="1477"/>
      <c r="G34" s="386">
        <f>SUM(G30:G33)</f>
        <v>26480000</v>
      </c>
    </row>
    <row r="35" spans="1:9" s="951" customFormat="1" ht="12.75">
      <c r="A35" s="1473" t="s">
        <v>916</v>
      </c>
      <c r="B35" s="1473"/>
      <c r="C35" s="1473"/>
      <c r="D35" s="1473"/>
      <c r="E35" s="1473"/>
      <c r="F35" s="1473"/>
      <c r="G35" s="1473"/>
      <c r="H35" s="950"/>
    </row>
    <row r="36" spans="1:9" ht="12.75">
      <c r="A36" s="392">
        <v>1</v>
      </c>
      <c r="B36" s="393" t="s">
        <v>917</v>
      </c>
      <c r="C36" s="295">
        <v>168</v>
      </c>
      <c r="D36" s="393"/>
      <c r="E36" s="393"/>
      <c r="F36" s="393"/>
      <c r="G36" s="394">
        <v>38000000</v>
      </c>
    </row>
    <row r="37" spans="1:9" ht="12.75">
      <c r="A37" s="392">
        <v>2</v>
      </c>
      <c r="B37" s="393" t="s">
        <v>918</v>
      </c>
      <c r="C37" s="295">
        <v>40</v>
      </c>
      <c r="D37" s="393"/>
      <c r="E37" s="393"/>
      <c r="F37" s="393"/>
      <c r="G37" s="394">
        <v>14000000</v>
      </c>
    </row>
    <row r="38" spans="1:9" ht="12.75">
      <c r="A38" s="392">
        <v>3</v>
      </c>
      <c r="B38" s="393" t="s">
        <v>919</v>
      </c>
      <c r="C38" s="295">
        <v>90</v>
      </c>
      <c r="D38" s="393"/>
      <c r="E38" s="393"/>
      <c r="F38" s="393"/>
      <c r="G38" s="394">
        <v>6000000</v>
      </c>
    </row>
    <row r="39" spans="1:9" ht="12.75">
      <c r="A39" s="392">
        <v>4</v>
      </c>
      <c r="B39" s="395" t="s">
        <v>423</v>
      </c>
      <c r="C39" s="295">
        <v>80</v>
      </c>
      <c r="D39" s="393"/>
      <c r="E39" s="393"/>
      <c r="F39" s="393"/>
      <c r="G39" s="394">
        <v>20000000</v>
      </c>
    </row>
    <row r="40" spans="1:9" ht="12.75">
      <c r="A40" s="392">
        <v>5</v>
      </c>
      <c r="B40" s="395" t="s">
        <v>421</v>
      </c>
      <c r="C40" s="295">
        <v>80</v>
      </c>
      <c r="D40" s="393"/>
      <c r="E40" s="393"/>
      <c r="F40" s="393"/>
      <c r="G40" s="394">
        <v>35000000</v>
      </c>
    </row>
    <row r="41" spans="1:9" ht="12.75">
      <c r="A41" s="392">
        <v>6</v>
      </c>
      <c r="B41" s="952" t="s">
        <v>2423</v>
      </c>
      <c r="C41" s="295"/>
      <c r="D41" s="393"/>
      <c r="E41" s="393"/>
      <c r="F41" s="393"/>
      <c r="G41" s="394">
        <v>60000000</v>
      </c>
    </row>
    <row r="42" spans="1:9" ht="12.75">
      <c r="A42" s="1465" t="s">
        <v>472</v>
      </c>
      <c r="B42" s="1476"/>
      <c r="C42" s="1476"/>
      <c r="D42" s="1476"/>
      <c r="E42" s="1476"/>
      <c r="F42" s="1477"/>
      <c r="G42" s="953">
        <f>SUM(G36:G41)</f>
        <v>173000000</v>
      </c>
      <c r="H42" s="954"/>
      <c r="I42" s="954"/>
    </row>
    <row r="43" spans="1:9" ht="12.75">
      <c r="A43" s="392">
        <v>1</v>
      </c>
      <c r="B43" s="393" t="s">
        <v>929</v>
      </c>
      <c r="C43" s="295">
        <v>2500</v>
      </c>
      <c r="D43" s="393"/>
      <c r="E43" s="393"/>
      <c r="F43" s="393"/>
      <c r="G43" s="397">
        <v>2500000</v>
      </c>
      <c r="H43" s="954"/>
      <c r="I43" s="954"/>
    </row>
    <row r="44" spans="1:9" ht="12.75">
      <c r="A44" s="392">
        <v>2</v>
      </c>
      <c r="B44" s="406" t="s">
        <v>930</v>
      </c>
      <c r="C44" s="295">
        <v>130</v>
      </c>
      <c r="D44" s="393"/>
      <c r="E44" s="393"/>
      <c r="F44" s="393"/>
      <c r="G44" s="397">
        <v>900000000</v>
      </c>
      <c r="H44" s="954"/>
      <c r="I44" s="954"/>
    </row>
    <row r="45" spans="1:9" s="951" customFormat="1" ht="12.75">
      <c r="A45" s="392">
        <v>3</v>
      </c>
      <c r="B45" s="955" t="s">
        <v>2424</v>
      </c>
      <c r="C45" s="956"/>
      <c r="D45" s="956"/>
      <c r="E45" s="407"/>
      <c r="F45" s="408"/>
      <c r="G45" s="957">
        <v>25000000</v>
      </c>
    </row>
    <row r="46" spans="1:9" s="951" customFormat="1" ht="12.75">
      <c r="A46" s="1666" t="s">
        <v>556</v>
      </c>
      <c r="B46" s="1667"/>
      <c r="C46" s="1667"/>
      <c r="D46" s="1667"/>
      <c r="E46" s="1667"/>
      <c r="F46" s="1668"/>
      <c r="G46" s="958">
        <f>G16+G21+G28+G34+G42+G43+G44+G45</f>
        <v>3603672000</v>
      </c>
      <c r="H46" s="959"/>
    </row>
    <row r="47" spans="1:9" ht="12.75">
      <c r="A47" s="509"/>
      <c r="B47" s="390"/>
      <c r="C47" s="390"/>
      <c r="D47" s="390"/>
      <c r="E47" s="390"/>
      <c r="F47" s="414"/>
      <c r="G47" s="293"/>
    </row>
    <row r="48" spans="1:9" ht="12.75">
      <c r="A48" s="509"/>
      <c r="B48" s="390" t="s">
        <v>2425</v>
      </c>
      <c r="C48" s="390" t="s">
        <v>2426</v>
      </c>
      <c r="D48" s="390"/>
      <c r="E48" s="414"/>
      <c r="F48" s="390"/>
      <c r="G48" s="293"/>
    </row>
    <row r="49" spans="1:7" ht="12.75">
      <c r="A49" s="509"/>
      <c r="B49" s="390" t="s">
        <v>2427</v>
      </c>
      <c r="C49" s="390" t="s">
        <v>2428</v>
      </c>
      <c r="D49" s="390"/>
      <c r="E49" s="390"/>
      <c r="F49" s="390"/>
      <c r="G49" s="416"/>
    </row>
    <row r="50" spans="1:7" ht="12.75">
      <c r="A50" s="509"/>
      <c r="B50" s="390"/>
      <c r="C50" s="390" t="s">
        <v>2429</v>
      </c>
      <c r="D50" s="390"/>
      <c r="E50" s="390"/>
      <c r="F50" s="390"/>
      <c r="G50" s="416"/>
    </row>
    <row r="51" spans="1:7" ht="12.75">
      <c r="A51" s="509"/>
      <c r="B51" s="390"/>
      <c r="C51" s="390" t="s">
        <v>2430</v>
      </c>
      <c r="D51" s="390"/>
      <c r="E51" s="390"/>
      <c r="F51" s="390"/>
      <c r="G51" s="416"/>
    </row>
    <row r="52" spans="1:7" ht="12.75">
      <c r="A52" s="509"/>
      <c r="B52" s="390"/>
      <c r="C52" s="390" t="s">
        <v>2431</v>
      </c>
      <c r="D52" s="390"/>
      <c r="E52" s="390"/>
      <c r="F52" s="390"/>
      <c r="G52" s="416"/>
    </row>
    <row r="53" spans="1:7" ht="12.75">
      <c r="A53" s="509"/>
      <c r="B53" s="390"/>
      <c r="C53" s="390" t="s">
        <v>2432</v>
      </c>
      <c r="D53" s="390"/>
      <c r="E53" s="390"/>
      <c r="F53" s="390"/>
      <c r="G53" s="416"/>
    </row>
    <row r="54" spans="1:7" ht="12.75">
      <c r="A54" s="509"/>
      <c r="B54" s="390"/>
      <c r="C54" s="390" t="s">
        <v>2433</v>
      </c>
      <c r="D54" s="390"/>
      <c r="E54" s="390"/>
      <c r="F54" s="390"/>
      <c r="G54" s="416"/>
    </row>
    <row r="56" spans="1:7">
      <c r="A56" s="1669"/>
      <c r="B56" s="1670"/>
      <c r="C56" s="1670"/>
      <c r="D56" s="1670"/>
      <c r="E56" s="1670"/>
      <c r="F56" s="1670"/>
      <c r="G56" s="1670"/>
    </row>
  </sheetData>
  <mergeCells count="26">
    <mergeCell ref="A34:F34"/>
    <mergeCell ref="A35:G35"/>
    <mergeCell ref="A42:F42"/>
    <mergeCell ref="A46:F46"/>
    <mergeCell ref="A56:G56"/>
    <mergeCell ref="A29:G29"/>
    <mergeCell ref="A5:G5"/>
    <mergeCell ref="A10:F10"/>
    <mergeCell ref="A11:B11"/>
    <mergeCell ref="A15:F15"/>
    <mergeCell ref="A16:F16"/>
    <mergeCell ref="A17:G17"/>
    <mergeCell ref="A21:F21"/>
    <mergeCell ref="A22:G22"/>
    <mergeCell ref="B23:B24"/>
    <mergeCell ref="B25:B26"/>
    <mergeCell ref="A28:F28"/>
    <mergeCell ref="A1:G1"/>
    <mergeCell ref="A2:G2"/>
    <mergeCell ref="A3:A4"/>
    <mergeCell ref="B3:B4"/>
    <mergeCell ref="C3:C4"/>
    <mergeCell ref="D3:D4"/>
    <mergeCell ref="E3:E4"/>
    <mergeCell ref="F3:F4"/>
    <mergeCell ref="G3:G4"/>
  </mergeCells>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J26" sqref="J26"/>
    </sheetView>
  </sheetViews>
  <sheetFormatPr defaultRowHeight="14.25"/>
  <cols>
    <col min="1" max="1" width="3.7109375" style="580" customWidth="1"/>
    <col min="2" max="2" width="32.85546875" style="580" customWidth="1"/>
    <col min="3" max="3" width="14.5703125" style="580" customWidth="1"/>
    <col min="4" max="4" width="12.5703125" style="580" customWidth="1"/>
    <col min="5" max="5" width="16.28515625" style="580" customWidth="1"/>
    <col min="6" max="6" width="55.85546875" style="580" customWidth="1"/>
    <col min="7" max="8" width="9.140625" style="976"/>
    <col min="9" max="9" width="9.140625" style="976" customWidth="1"/>
    <col min="10" max="11" width="9.140625" style="976"/>
    <col min="12" max="12" width="9.140625" style="976" customWidth="1"/>
    <col min="13" max="16384" width="9.140625" style="976"/>
  </cols>
  <sheetData>
    <row r="1" spans="1:7" s="945" customFormat="1" ht="15">
      <c r="A1" s="1671" t="s">
        <v>2434</v>
      </c>
      <c r="B1" s="1671"/>
      <c r="C1" s="1671"/>
      <c r="D1" s="1671"/>
      <c r="E1" s="1671"/>
      <c r="F1" s="1671"/>
      <c r="G1" s="954"/>
    </row>
    <row r="2" spans="1:7" s="945" customFormat="1" ht="15">
      <c r="A2" s="962"/>
      <c r="B2" s="963"/>
      <c r="C2" s="963"/>
      <c r="D2" s="963"/>
      <c r="E2" s="963"/>
      <c r="F2" s="963"/>
      <c r="G2" s="954"/>
    </row>
    <row r="3" spans="1:7" s="945" customFormat="1" ht="15">
      <c r="A3" s="22"/>
      <c r="B3" s="964" t="s">
        <v>931</v>
      </c>
      <c r="C3" s="965" t="s">
        <v>327</v>
      </c>
      <c r="D3" s="966" t="s">
        <v>2435</v>
      </c>
      <c r="E3" s="967" t="s">
        <v>156</v>
      </c>
      <c r="F3" s="818" t="s">
        <v>3</v>
      </c>
    </row>
    <row r="4" spans="1:7" s="945" customFormat="1">
      <c r="A4" s="579">
        <v>1</v>
      </c>
      <c r="B4" s="735" t="s">
        <v>2436</v>
      </c>
      <c r="C4" s="803">
        <v>10000</v>
      </c>
      <c r="D4" s="968">
        <v>100</v>
      </c>
      <c r="E4" s="968">
        <v>1000000</v>
      </c>
      <c r="F4" s="969"/>
    </row>
    <row r="5" spans="1:7" s="945" customFormat="1">
      <c r="A5" s="579">
        <v>2</v>
      </c>
      <c r="B5" s="735" t="s">
        <v>1436</v>
      </c>
      <c r="C5" s="803">
        <v>1</v>
      </c>
      <c r="D5" s="968"/>
      <c r="E5" s="968">
        <v>19200000</v>
      </c>
      <c r="F5" s="969"/>
    </row>
    <row r="6" spans="1:7" s="945" customFormat="1">
      <c r="A6" s="579">
        <v>3</v>
      </c>
      <c r="B6" s="735" t="s">
        <v>2437</v>
      </c>
      <c r="C6" s="803">
        <v>7000</v>
      </c>
      <c r="D6" s="968">
        <v>5000</v>
      </c>
      <c r="E6" s="968">
        <v>35000000</v>
      </c>
      <c r="F6" s="969"/>
    </row>
    <row r="7" spans="1:7" s="945" customFormat="1">
      <c r="A7" s="579">
        <v>4</v>
      </c>
      <c r="B7" s="735" t="s">
        <v>2438</v>
      </c>
      <c r="C7" s="803">
        <v>50</v>
      </c>
      <c r="D7" s="968">
        <v>9900</v>
      </c>
      <c r="E7" s="968">
        <v>495000</v>
      </c>
      <c r="F7" s="969"/>
    </row>
    <row r="8" spans="1:7" s="945" customFormat="1">
      <c r="A8" s="579">
        <v>5</v>
      </c>
      <c r="B8" s="735" t="s">
        <v>2439</v>
      </c>
      <c r="C8" s="803">
        <v>10</v>
      </c>
      <c r="D8" s="968">
        <v>50000</v>
      </c>
      <c r="E8" s="968">
        <v>500000</v>
      </c>
      <c r="F8" s="969"/>
    </row>
    <row r="9" spans="1:7" s="945" customFormat="1">
      <c r="A9" s="579"/>
      <c r="B9" s="1672" t="s">
        <v>2440</v>
      </c>
      <c r="C9" s="1673"/>
      <c r="D9" s="1673"/>
      <c r="E9" s="1674"/>
      <c r="F9" s="1675" t="s">
        <v>2441</v>
      </c>
    </row>
    <row r="10" spans="1:7" s="945" customFormat="1">
      <c r="A10" s="579">
        <v>6</v>
      </c>
      <c r="B10" s="970" t="s">
        <v>2442</v>
      </c>
      <c r="C10" s="971">
        <v>10</v>
      </c>
      <c r="D10" s="972"/>
      <c r="E10" s="973">
        <v>4800000</v>
      </c>
      <c r="F10" s="1676"/>
    </row>
    <row r="11" spans="1:7" s="945" customFormat="1">
      <c r="A11" s="734">
        <v>7</v>
      </c>
      <c r="B11" s="95" t="s">
        <v>2443</v>
      </c>
      <c r="C11" s="803"/>
      <c r="D11" s="803"/>
      <c r="E11" s="974">
        <v>5000000</v>
      </c>
      <c r="F11" s="969"/>
    </row>
    <row r="12" spans="1:7" s="945" customFormat="1" ht="15">
      <c r="A12" s="22"/>
      <c r="B12" s="1677" t="s">
        <v>156</v>
      </c>
      <c r="C12" s="1678"/>
      <c r="D12" s="1679"/>
      <c r="E12" s="975">
        <f>E4+E5+E6+E7+E8+E10+E11</f>
        <v>65995000</v>
      </c>
      <c r="F12" s="969"/>
    </row>
    <row r="13" spans="1:7" s="945" customFormat="1" ht="11.25"/>
    <row r="14" spans="1:7" ht="15">
      <c r="A14" s="1680" t="s">
        <v>2444</v>
      </c>
      <c r="B14" s="1680"/>
      <c r="C14" s="1680"/>
      <c r="D14" s="1680"/>
      <c r="E14" s="1680"/>
      <c r="F14" s="1680"/>
    </row>
    <row r="15" spans="1:7" ht="15">
      <c r="A15" s="22"/>
      <c r="B15" s="964" t="s">
        <v>931</v>
      </c>
      <c r="C15" s="965" t="s">
        <v>327</v>
      </c>
      <c r="D15" s="966" t="s">
        <v>2435</v>
      </c>
      <c r="E15" s="967" t="s">
        <v>156</v>
      </c>
      <c r="F15" s="818" t="s">
        <v>3</v>
      </c>
    </row>
    <row r="16" spans="1:7" ht="15">
      <c r="A16" s="795">
        <v>1</v>
      </c>
      <c r="B16" s="977" t="s">
        <v>2445</v>
      </c>
      <c r="C16" s="795">
        <v>1</v>
      </c>
      <c r="D16" s="974">
        <v>2500000</v>
      </c>
      <c r="E16" s="974">
        <v>2500000</v>
      </c>
      <c r="F16" s="818"/>
    </row>
    <row r="17" spans="1:6" ht="15">
      <c r="A17" s="795">
        <v>2</v>
      </c>
      <c r="B17" s="795" t="s">
        <v>2446</v>
      </c>
      <c r="C17" s="795">
        <v>1</v>
      </c>
      <c r="D17" s="974"/>
      <c r="E17" s="974">
        <v>11000000</v>
      </c>
      <c r="F17" s="818"/>
    </row>
    <row r="18" spans="1:6">
      <c r="A18" s="795">
        <v>3</v>
      </c>
      <c r="B18" s="795" t="s">
        <v>2447</v>
      </c>
      <c r="C18" s="795">
        <v>1</v>
      </c>
      <c r="D18" s="974">
        <v>500000</v>
      </c>
      <c r="E18" s="974">
        <v>500000</v>
      </c>
      <c r="F18" s="22"/>
    </row>
    <row r="19" spans="1:6" ht="28.5">
      <c r="A19" s="795">
        <v>4</v>
      </c>
      <c r="B19" s="977" t="s">
        <v>2448</v>
      </c>
      <c r="C19" s="795"/>
      <c r="D19" s="974"/>
      <c r="E19" s="974">
        <v>40000000</v>
      </c>
      <c r="F19" s="22"/>
    </row>
    <row r="20" spans="1:6" ht="89.25">
      <c r="A20" s="795">
        <v>5</v>
      </c>
      <c r="B20" s="793" t="s">
        <v>2449</v>
      </c>
      <c r="C20" s="793" t="s">
        <v>2450</v>
      </c>
      <c r="D20" s="974"/>
      <c r="E20" s="974">
        <v>8400000</v>
      </c>
      <c r="F20" s="978" t="s">
        <v>2451</v>
      </c>
    </row>
    <row r="21" spans="1:6" ht="15">
      <c r="A21" s="803"/>
      <c r="B21" s="803"/>
      <c r="C21" s="803"/>
      <c r="D21" s="795"/>
      <c r="E21" s="979">
        <f>SUM(E16:E20)</f>
        <v>62400000</v>
      </c>
      <c r="F21" s="22"/>
    </row>
    <row r="23" spans="1:6" ht="15">
      <c r="B23" s="980"/>
      <c r="C23" s="981"/>
      <c r="D23" s="980"/>
      <c r="E23" s="980"/>
      <c r="F23" s="982"/>
    </row>
    <row r="24" spans="1:6">
      <c r="B24" s="980"/>
      <c r="C24" s="983"/>
      <c r="D24" s="980"/>
      <c r="E24" s="980"/>
      <c r="F24" s="980"/>
    </row>
    <row r="25" spans="1:6">
      <c r="B25" s="980"/>
      <c r="C25" s="980"/>
      <c r="D25" s="980"/>
      <c r="E25" s="980"/>
      <c r="F25" s="980"/>
    </row>
    <row r="26" spans="1:6">
      <c r="B26" s="980"/>
      <c r="C26" s="980"/>
      <c r="D26" s="980"/>
      <c r="E26" s="980"/>
      <c r="F26" s="980"/>
    </row>
    <row r="27" spans="1:6">
      <c r="B27" s="980"/>
      <c r="C27" s="980"/>
      <c r="D27" s="980"/>
      <c r="E27" s="980"/>
      <c r="F27" s="980"/>
    </row>
    <row r="28" spans="1:6">
      <c r="B28" s="980"/>
      <c r="C28" s="980"/>
      <c r="D28" s="980"/>
      <c r="E28" s="980"/>
      <c r="F28" s="980"/>
    </row>
  </sheetData>
  <mergeCells count="5">
    <mergeCell ref="A1:F1"/>
    <mergeCell ref="B9:E9"/>
    <mergeCell ref="F9:F10"/>
    <mergeCell ref="B12:D12"/>
    <mergeCell ref="A14:F14"/>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7"/>
  <sheetViews>
    <sheetView workbookViewId="0">
      <selection activeCell="C4" sqref="C4"/>
    </sheetView>
  </sheetViews>
  <sheetFormatPr defaultRowHeight="14.25"/>
  <cols>
    <col min="1" max="1" width="4.42578125" customWidth="1"/>
    <col min="2" max="2" width="5" style="447" customWidth="1"/>
    <col min="3" max="3" width="26.7109375" customWidth="1"/>
    <col min="4" max="4" width="16.85546875" customWidth="1"/>
    <col min="5" max="5" width="13" customWidth="1"/>
    <col min="6" max="6" width="13.140625" customWidth="1"/>
    <col min="7" max="7" width="15" customWidth="1"/>
  </cols>
  <sheetData>
    <row r="2" spans="2:7" ht="15.75">
      <c r="C2" s="1681" t="s">
        <v>2452</v>
      </c>
      <c r="D2" s="1681"/>
      <c r="E2" s="1681"/>
      <c r="F2" s="1681"/>
      <c r="G2" s="1681"/>
    </row>
    <row r="4" spans="2:7" ht="33.75" customHeight="1">
      <c r="B4" s="511"/>
      <c r="C4" s="984" t="s">
        <v>398</v>
      </c>
      <c r="D4" s="984" t="s">
        <v>403</v>
      </c>
      <c r="E4" s="984" t="s">
        <v>327</v>
      </c>
      <c r="F4" s="984" t="s">
        <v>166</v>
      </c>
      <c r="G4" s="984" t="s">
        <v>316</v>
      </c>
    </row>
    <row r="5" spans="2:7" ht="20.25" customHeight="1">
      <c r="B5" s="1634" t="s">
        <v>2453</v>
      </c>
      <c r="C5" s="1635"/>
      <c r="D5" s="1635"/>
      <c r="E5" s="1635"/>
      <c r="F5" s="1635"/>
      <c r="G5" s="1636"/>
    </row>
    <row r="6" spans="2:7" ht="20.25" customHeight="1">
      <c r="B6" s="511">
        <v>1</v>
      </c>
      <c r="C6" s="985" t="s">
        <v>2454</v>
      </c>
      <c r="D6" s="95" t="s">
        <v>2455</v>
      </c>
      <c r="E6" s="984"/>
      <c r="F6" s="984">
        <v>92000</v>
      </c>
      <c r="G6" s="984"/>
    </row>
    <row r="7" spans="2:7" ht="20.25" customHeight="1">
      <c r="B7" s="511"/>
      <c r="C7" s="984" t="s">
        <v>2456</v>
      </c>
      <c r="D7" s="95" t="s">
        <v>2457</v>
      </c>
      <c r="E7" s="95" t="s">
        <v>2458</v>
      </c>
      <c r="F7" s="95">
        <v>14000</v>
      </c>
      <c r="G7" s="95">
        <v>232000</v>
      </c>
    </row>
    <row r="8" spans="2:7" ht="20.25" customHeight="1">
      <c r="B8" s="511">
        <v>2</v>
      </c>
      <c r="C8" s="985" t="s">
        <v>2459</v>
      </c>
      <c r="D8" s="95" t="s">
        <v>2455</v>
      </c>
      <c r="E8" s="984"/>
      <c r="F8" s="984"/>
      <c r="G8" s="984"/>
    </row>
    <row r="9" spans="2:7" ht="20.25" customHeight="1">
      <c r="B9" s="511"/>
      <c r="C9" s="984" t="s">
        <v>2456</v>
      </c>
      <c r="D9" s="95" t="s">
        <v>2457</v>
      </c>
      <c r="E9" s="95" t="s">
        <v>2458</v>
      </c>
      <c r="F9" s="95">
        <v>14000</v>
      </c>
      <c r="G9" s="95">
        <v>232000</v>
      </c>
    </row>
    <row r="10" spans="2:7" ht="20.25" customHeight="1">
      <c r="B10" s="511">
        <v>3</v>
      </c>
      <c r="C10" s="985" t="s">
        <v>2460</v>
      </c>
      <c r="D10" s="95" t="s">
        <v>2455</v>
      </c>
      <c r="E10" s="984"/>
      <c r="F10" s="984"/>
      <c r="G10" s="984"/>
    </row>
    <row r="11" spans="2:7" ht="20.25" customHeight="1">
      <c r="B11" s="511"/>
      <c r="C11" s="984" t="s">
        <v>2456</v>
      </c>
      <c r="D11" s="95" t="s">
        <v>2457</v>
      </c>
      <c r="E11" s="95" t="s">
        <v>2458</v>
      </c>
      <c r="F11" s="95">
        <v>16000</v>
      </c>
      <c r="G11" s="95">
        <v>232000</v>
      </c>
    </row>
    <row r="12" spans="2:7" ht="20.25" customHeight="1">
      <c r="B12" s="511">
        <v>4</v>
      </c>
      <c r="C12" s="984" t="s">
        <v>2461</v>
      </c>
      <c r="D12" s="95" t="s">
        <v>2455</v>
      </c>
      <c r="E12" s="984"/>
      <c r="F12" s="984"/>
      <c r="G12" s="984"/>
    </row>
    <row r="13" spans="2:7" ht="20.25" customHeight="1">
      <c r="B13" s="511"/>
      <c r="C13" s="984" t="s">
        <v>2456</v>
      </c>
      <c r="D13" s="95" t="s">
        <v>2457</v>
      </c>
      <c r="E13" s="95" t="s">
        <v>2458</v>
      </c>
      <c r="F13" s="95">
        <v>14000</v>
      </c>
      <c r="G13" s="95">
        <v>232000</v>
      </c>
    </row>
    <row r="14" spans="2:7" ht="20.25" customHeight="1">
      <c r="B14" s="511">
        <v>5</v>
      </c>
      <c r="C14" s="984" t="s">
        <v>2459</v>
      </c>
      <c r="D14" s="95" t="s">
        <v>2455</v>
      </c>
      <c r="E14" s="984"/>
      <c r="F14" s="984"/>
      <c r="G14" s="984"/>
    </row>
    <row r="15" spans="2:7" ht="20.25" customHeight="1">
      <c r="B15" s="511"/>
      <c r="C15" s="984" t="s">
        <v>2456</v>
      </c>
      <c r="D15" s="95" t="s">
        <v>2457</v>
      </c>
      <c r="E15" s="95" t="s">
        <v>2458</v>
      </c>
      <c r="F15" s="95">
        <v>14000</v>
      </c>
      <c r="G15" s="95">
        <v>232000</v>
      </c>
    </row>
    <row r="16" spans="2:7" ht="20.25" customHeight="1">
      <c r="B16" s="511">
        <v>6</v>
      </c>
      <c r="C16" s="984" t="s">
        <v>2459</v>
      </c>
      <c r="D16" s="95" t="s">
        <v>2455</v>
      </c>
      <c r="E16" s="984"/>
      <c r="F16" s="984"/>
      <c r="G16" s="984"/>
    </row>
    <row r="17" spans="2:7" ht="20.25" customHeight="1">
      <c r="B17" s="511"/>
      <c r="C17" s="984" t="s">
        <v>2456</v>
      </c>
      <c r="D17" s="95" t="s">
        <v>2457</v>
      </c>
      <c r="E17" s="95" t="s">
        <v>2458</v>
      </c>
      <c r="F17" s="95">
        <v>14000</v>
      </c>
      <c r="G17" s="95">
        <v>232000</v>
      </c>
    </row>
    <row r="18" spans="2:7" ht="20.25" customHeight="1">
      <c r="B18" s="511">
        <v>7</v>
      </c>
      <c r="C18" s="984" t="s">
        <v>2459</v>
      </c>
      <c r="D18" s="95" t="s">
        <v>2455</v>
      </c>
      <c r="E18" s="984"/>
      <c r="F18" s="984"/>
      <c r="G18" s="984"/>
    </row>
    <row r="19" spans="2:7" ht="20.25" customHeight="1">
      <c r="B19" s="511"/>
      <c r="C19" s="984" t="s">
        <v>2456</v>
      </c>
      <c r="D19" s="95" t="s">
        <v>2457</v>
      </c>
      <c r="E19" s="95" t="s">
        <v>2458</v>
      </c>
      <c r="F19" s="95">
        <v>14000</v>
      </c>
      <c r="G19" s="95">
        <v>232000</v>
      </c>
    </row>
    <row r="20" spans="2:7" ht="20.25" customHeight="1">
      <c r="B20" s="511">
        <v>8</v>
      </c>
      <c r="C20" s="984" t="s">
        <v>2459</v>
      </c>
      <c r="D20" s="95" t="s">
        <v>2455</v>
      </c>
      <c r="E20" s="984"/>
      <c r="F20" s="984"/>
      <c r="G20" s="984"/>
    </row>
    <row r="21" spans="2:7" ht="20.25" customHeight="1">
      <c r="B21" s="511"/>
      <c r="C21" s="984" t="s">
        <v>2456</v>
      </c>
      <c r="D21" s="95" t="s">
        <v>2457</v>
      </c>
      <c r="E21" s="95" t="s">
        <v>2458</v>
      </c>
      <c r="F21" s="95">
        <v>14000</v>
      </c>
      <c r="G21" s="95">
        <v>232000</v>
      </c>
    </row>
    <row r="22" spans="2:7" ht="20.25" customHeight="1">
      <c r="B22" s="511">
        <v>9</v>
      </c>
      <c r="C22" s="984" t="s">
        <v>2459</v>
      </c>
      <c r="D22" s="95" t="s">
        <v>2455</v>
      </c>
      <c r="E22" s="984"/>
      <c r="F22" s="984"/>
      <c r="G22" s="984"/>
    </row>
    <row r="23" spans="2:7" ht="20.25" customHeight="1">
      <c r="B23" s="511"/>
      <c r="C23" s="984" t="s">
        <v>2456</v>
      </c>
      <c r="D23" s="95" t="s">
        <v>2457</v>
      </c>
      <c r="E23" s="95" t="s">
        <v>2458</v>
      </c>
      <c r="F23" s="95">
        <v>14000</v>
      </c>
      <c r="G23" s="95">
        <v>232000</v>
      </c>
    </row>
    <row r="24" spans="2:7" ht="20.25" customHeight="1">
      <c r="B24" s="511">
        <v>10</v>
      </c>
      <c r="C24" s="984" t="s">
        <v>2459</v>
      </c>
      <c r="D24" s="95" t="s">
        <v>2455</v>
      </c>
      <c r="E24" s="984"/>
      <c r="F24" s="984"/>
      <c r="G24" s="984"/>
    </row>
    <row r="25" spans="2:7" ht="20.25" customHeight="1">
      <c r="B25" s="511"/>
      <c r="C25" s="984" t="s">
        <v>2456</v>
      </c>
      <c r="D25" s="95" t="s">
        <v>2457</v>
      </c>
      <c r="E25" s="95" t="s">
        <v>2458</v>
      </c>
      <c r="F25" s="95">
        <v>14000</v>
      </c>
      <c r="G25" s="95">
        <v>232000</v>
      </c>
    </row>
    <row r="26" spans="2:7" ht="20.25" customHeight="1">
      <c r="B26" s="511">
        <v>11</v>
      </c>
      <c r="C26" s="984" t="s">
        <v>2462</v>
      </c>
      <c r="D26" s="95"/>
      <c r="E26" s="95"/>
      <c r="F26" s="95">
        <v>35000</v>
      </c>
      <c r="G26" s="95"/>
    </row>
    <row r="27" spans="2:7" ht="20.25" customHeight="1">
      <c r="B27" s="511"/>
      <c r="C27" s="984"/>
      <c r="D27" s="95"/>
      <c r="E27" s="95"/>
      <c r="F27" s="95"/>
      <c r="G27" s="95"/>
    </row>
    <row r="28" spans="2:7" ht="20.25" customHeight="1">
      <c r="B28" s="511"/>
      <c r="C28" s="984"/>
      <c r="D28" s="95"/>
      <c r="E28" s="95"/>
      <c r="F28" s="95"/>
      <c r="G28" s="95"/>
    </row>
    <row r="31" spans="2:7" ht="15.75">
      <c r="C31" s="1681" t="s">
        <v>2452</v>
      </c>
      <c r="D31" s="1681"/>
      <c r="E31" s="1681"/>
      <c r="F31" s="1681"/>
      <c r="G31" s="1681"/>
    </row>
    <row r="33" spans="2:7" ht="28.5">
      <c r="B33" s="511"/>
      <c r="C33" s="984" t="s">
        <v>398</v>
      </c>
      <c r="D33" s="984" t="s">
        <v>403</v>
      </c>
      <c r="E33" s="984" t="s">
        <v>327</v>
      </c>
      <c r="F33" s="984" t="s">
        <v>166</v>
      </c>
      <c r="G33" s="984" t="s">
        <v>316</v>
      </c>
    </row>
    <row r="34" spans="2:7" ht="18" customHeight="1">
      <c r="B34" s="1634" t="s">
        <v>2463</v>
      </c>
      <c r="C34" s="1635"/>
      <c r="D34" s="1635"/>
      <c r="E34" s="1635"/>
      <c r="F34" s="1635"/>
      <c r="G34" s="1636"/>
    </row>
    <row r="35" spans="2:7" ht="21.75" customHeight="1">
      <c r="B35" s="511">
        <v>1</v>
      </c>
      <c r="C35" s="985" t="s">
        <v>2464</v>
      </c>
      <c r="D35" s="95" t="s">
        <v>2455</v>
      </c>
      <c r="E35" s="984"/>
      <c r="F35" s="984">
        <v>64000</v>
      </c>
      <c r="G35" s="984"/>
    </row>
    <row r="36" spans="2:7" ht="21.75" customHeight="1">
      <c r="B36" s="511"/>
      <c r="C36" s="984" t="s">
        <v>2456</v>
      </c>
      <c r="D36" s="95" t="s">
        <v>2457</v>
      </c>
      <c r="E36" s="95" t="s">
        <v>2458</v>
      </c>
      <c r="F36" s="95">
        <v>14000</v>
      </c>
      <c r="G36" s="95">
        <v>232000</v>
      </c>
    </row>
    <row r="37" spans="2:7" ht="21.75" customHeight="1">
      <c r="B37" s="511">
        <v>2</v>
      </c>
      <c r="C37" s="985" t="s">
        <v>2459</v>
      </c>
      <c r="D37" s="95" t="s">
        <v>2455</v>
      </c>
      <c r="E37" s="984"/>
      <c r="F37" s="984">
        <v>59200</v>
      </c>
      <c r="G37" s="984"/>
    </row>
    <row r="38" spans="2:7" ht="21.75" customHeight="1">
      <c r="B38" s="511"/>
      <c r="C38" s="984" t="s">
        <v>2456</v>
      </c>
      <c r="D38" s="95" t="s">
        <v>2457</v>
      </c>
      <c r="E38" s="95" t="s">
        <v>2458</v>
      </c>
      <c r="F38" s="95">
        <v>14000</v>
      </c>
      <c r="G38" s="95">
        <v>232000</v>
      </c>
    </row>
    <row r="39" spans="2:7" ht="21.75" customHeight="1">
      <c r="B39" s="511">
        <v>3</v>
      </c>
      <c r="C39" s="985" t="s">
        <v>2465</v>
      </c>
      <c r="D39" s="95" t="s">
        <v>2455</v>
      </c>
      <c r="E39" s="984"/>
      <c r="F39" s="984">
        <v>55000</v>
      </c>
      <c r="G39" s="984"/>
    </row>
    <row r="40" spans="2:7" ht="21.75" customHeight="1">
      <c r="B40" s="511"/>
      <c r="C40" s="984" t="s">
        <v>2456</v>
      </c>
      <c r="D40" s="95" t="s">
        <v>2457</v>
      </c>
      <c r="E40" s="95" t="s">
        <v>2458</v>
      </c>
      <c r="F40" s="95">
        <v>16000</v>
      </c>
      <c r="G40" s="95">
        <v>232000</v>
      </c>
    </row>
    <row r="41" spans="2:7" ht="21.75" customHeight="1">
      <c r="B41" s="511">
        <v>4</v>
      </c>
      <c r="C41" s="985" t="s">
        <v>2466</v>
      </c>
      <c r="D41" s="95" t="s">
        <v>2455</v>
      </c>
      <c r="E41" s="984"/>
      <c r="F41" s="984">
        <v>34000</v>
      </c>
      <c r="G41" s="984"/>
    </row>
    <row r="42" spans="2:7" ht="21.75" customHeight="1">
      <c r="B42" s="511"/>
      <c r="C42" s="984" t="s">
        <v>2456</v>
      </c>
      <c r="D42" s="95" t="s">
        <v>2457</v>
      </c>
      <c r="E42" s="95" t="s">
        <v>2458</v>
      </c>
      <c r="F42" s="95">
        <v>14000</v>
      </c>
      <c r="G42" s="95">
        <v>232000</v>
      </c>
    </row>
    <row r="43" spans="2:7" ht="21.75" customHeight="1">
      <c r="B43" s="511">
        <v>5</v>
      </c>
      <c r="C43" s="985" t="s">
        <v>2467</v>
      </c>
      <c r="D43" s="95" t="s">
        <v>2455</v>
      </c>
      <c r="E43" s="984"/>
      <c r="F43" s="984"/>
      <c r="G43" s="984"/>
    </row>
    <row r="44" spans="2:7" ht="21.75" customHeight="1">
      <c r="B44" s="511"/>
      <c r="C44" s="984" t="s">
        <v>2456</v>
      </c>
      <c r="D44" s="95" t="s">
        <v>2457</v>
      </c>
      <c r="E44" s="95" t="s">
        <v>2458</v>
      </c>
      <c r="F44" s="95">
        <v>14000</v>
      </c>
      <c r="G44" s="95">
        <v>232000</v>
      </c>
    </row>
    <row r="45" spans="2:7" ht="21.75" customHeight="1">
      <c r="B45" s="511">
        <v>6</v>
      </c>
      <c r="C45" s="984" t="s">
        <v>2459</v>
      </c>
      <c r="D45" s="95" t="s">
        <v>2455</v>
      </c>
      <c r="E45" s="984"/>
      <c r="F45" s="984"/>
      <c r="G45" s="984"/>
    </row>
    <row r="46" spans="2:7" ht="21.75" customHeight="1">
      <c r="B46" s="511"/>
      <c r="C46" s="984" t="s">
        <v>2456</v>
      </c>
      <c r="D46" s="95" t="s">
        <v>2457</v>
      </c>
      <c r="E46" s="95" t="s">
        <v>2458</v>
      </c>
      <c r="F46" s="95">
        <v>14000</v>
      </c>
      <c r="G46" s="95">
        <v>232000</v>
      </c>
    </row>
    <row r="47" spans="2:7" ht="21.75" customHeight="1">
      <c r="B47" s="511">
        <v>7</v>
      </c>
      <c r="C47" s="984" t="s">
        <v>2459</v>
      </c>
      <c r="D47" s="95" t="s">
        <v>2455</v>
      </c>
      <c r="E47" s="984"/>
      <c r="F47" s="984"/>
      <c r="G47" s="984"/>
    </row>
    <row r="48" spans="2:7" ht="21.75" customHeight="1">
      <c r="B48" s="511"/>
      <c r="C48" s="984" t="s">
        <v>2456</v>
      </c>
      <c r="D48" s="95" t="s">
        <v>2457</v>
      </c>
      <c r="E48" s="95" t="s">
        <v>2458</v>
      </c>
      <c r="F48" s="95">
        <v>14000</v>
      </c>
      <c r="G48" s="95">
        <v>232000</v>
      </c>
    </row>
    <row r="49" spans="2:7" ht="21.75" customHeight="1">
      <c r="B49" s="511">
        <v>8</v>
      </c>
      <c r="C49" s="984" t="s">
        <v>2459</v>
      </c>
      <c r="D49" s="95" t="s">
        <v>2455</v>
      </c>
      <c r="E49" s="984"/>
      <c r="F49" s="984"/>
      <c r="G49" s="984"/>
    </row>
    <row r="50" spans="2:7" ht="21.75" customHeight="1">
      <c r="B50" s="511"/>
      <c r="C50" s="984" t="s">
        <v>2456</v>
      </c>
      <c r="D50" s="95" t="s">
        <v>2457</v>
      </c>
      <c r="E50" s="95" t="s">
        <v>2458</v>
      </c>
      <c r="F50" s="95">
        <v>14000</v>
      </c>
      <c r="G50" s="95">
        <v>232000</v>
      </c>
    </row>
    <row r="51" spans="2:7" ht="21.75" customHeight="1">
      <c r="B51" s="511">
        <v>9</v>
      </c>
      <c r="C51" s="984" t="s">
        <v>2459</v>
      </c>
      <c r="D51" s="95" t="s">
        <v>2455</v>
      </c>
      <c r="E51" s="984"/>
      <c r="F51" s="984"/>
      <c r="G51" s="984"/>
    </row>
    <row r="52" spans="2:7" ht="21.75" customHeight="1">
      <c r="B52" s="511"/>
      <c r="C52" s="984" t="s">
        <v>2456</v>
      </c>
      <c r="D52" s="95" t="s">
        <v>2457</v>
      </c>
      <c r="E52" s="95" t="s">
        <v>2458</v>
      </c>
      <c r="F52" s="95">
        <v>14000</v>
      </c>
      <c r="G52" s="95">
        <v>232000</v>
      </c>
    </row>
    <row r="53" spans="2:7" ht="21.75" customHeight="1">
      <c r="B53" s="511">
        <v>10</v>
      </c>
      <c r="C53" s="984" t="s">
        <v>2459</v>
      </c>
      <c r="D53" s="95" t="s">
        <v>2455</v>
      </c>
      <c r="E53" s="984"/>
      <c r="F53" s="984"/>
      <c r="G53" s="984"/>
    </row>
    <row r="54" spans="2:7" ht="21.75" customHeight="1">
      <c r="B54" s="511"/>
      <c r="C54" s="984" t="s">
        <v>2456</v>
      </c>
      <c r="D54" s="95" t="s">
        <v>2457</v>
      </c>
      <c r="E54" s="95" t="s">
        <v>2458</v>
      </c>
      <c r="F54" s="95">
        <v>14000</v>
      </c>
      <c r="G54" s="95">
        <v>232000</v>
      </c>
    </row>
    <row r="55" spans="2:7" ht="21.75" customHeight="1">
      <c r="B55" s="511">
        <v>11</v>
      </c>
      <c r="C55" s="984" t="s">
        <v>2462</v>
      </c>
      <c r="D55" s="95"/>
      <c r="E55" s="95"/>
      <c r="F55" s="95">
        <v>35000</v>
      </c>
      <c r="G55" s="95"/>
    </row>
    <row r="56" spans="2:7" ht="21.75" customHeight="1">
      <c r="B56" s="511"/>
      <c r="C56" s="984"/>
      <c r="D56" s="95"/>
      <c r="E56" s="95"/>
      <c r="F56" s="95"/>
      <c r="G56" s="95"/>
    </row>
    <row r="57" spans="2:7" ht="21.75" customHeight="1">
      <c r="B57" s="511"/>
      <c r="C57" s="984"/>
      <c r="D57" s="95"/>
      <c r="E57" s="95"/>
      <c r="F57" s="95"/>
      <c r="G57" s="95"/>
    </row>
  </sheetData>
  <mergeCells count="4">
    <mergeCell ref="C2:G2"/>
    <mergeCell ref="B5:G5"/>
    <mergeCell ref="C31:G31"/>
    <mergeCell ref="B34:G34"/>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N10" sqref="N10"/>
    </sheetView>
  </sheetViews>
  <sheetFormatPr defaultRowHeight="14.25"/>
  <cols>
    <col min="1" max="1" width="6.140625" customWidth="1"/>
    <col min="2" max="2" width="50" customWidth="1"/>
    <col min="3" max="3" width="14.28515625" customWidth="1"/>
    <col min="4" max="4" width="13.28515625" customWidth="1"/>
    <col min="5" max="5" width="13.42578125" customWidth="1"/>
  </cols>
  <sheetData>
    <row r="1" spans="1:5" ht="15.75">
      <c r="A1" s="1682" t="s">
        <v>2468</v>
      </c>
      <c r="B1" s="1682"/>
      <c r="C1" s="1682"/>
      <c r="D1" s="1682"/>
      <c r="E1" s="1682"/>
    </row>
    <row r="2" spans="1:5" ht="30">
      <c r="A2" s="986"/>
      <c r="B2" s="986" t="s">
        <v>2469</v>
      </c>
      <c r="C2" s="987" t="s">
        <v>933</v>
      </c>
      <c r="D2" s="986" t="s">
        <v>397</v>
      </c>
      <c r="E2" s="986" t="s">
        <v>179</v>
      </c>
    </row>
    <row r="3" spans="1:5" ht="30">
      <c r="A3" s="988">
        <v>1</v>
      </c>
      <c r="B3" s="987" t="s">
        <v>2470</v>
      </c>
      <c r="C3" s="986">
        <v>3200</v>
      </c>
      <c r="D3" s="986">
        <v>12000</v>
      </c>
      <c r="E3" s="986">
        <f>C3*D3</f>
        <v>38400000</v>
      </c>
    </row>
    <row r="4" spans="1:5" ht="45">
      <c r="A4" s="988">
        <v>2</v>
      </c>
      <c r="B4" s="987" t="s">
        <v>2471</v>
      </c>
      <c r="C4" s="986">
        <v>3000</v>
      </c>
      <c r="D4" s="986">
        <v>12000</v>
      </c>
      <c r="E4" s="986">
        <f t="shared" ref="E4:E10" si="0">C4*D4</f>
        <v>36000000</v>
      </c>
    </row>
    <row r="5" spans="1:5" ht="30">
      <c r="A5" s="988">
        <v>3</v>
      </c>
      <c r="B5" s="987" t="s">
        <v>2472</v>
      </c>
      <c r="C5" s="986">
        <v>600</v>
      </c>
      <c r="D5" s="986">
        <v>10000</v>
      </c>
      <c r="E5" s="986">
        <f t="shared" si="0"/>
        <v>6000000</v>
      </c>
    </row>
    <row r="6" spans="1:5" ht="30">
      <c r="A6" s="988">
        <v>4</v>
      </c>
      <c r="B6" s="987" t="s">
        <v>2473</v>
      </c>
      <c r="C6" s="986">
        <v>450</v>
      </c>
      <c r="D6" s="986">
        <v>10000</v>
      </c>
      <c r="E6" s="986">
        <f t="shared" si="0"/>
        <v>4500000</v>
      </c>
    </row>
    <row r="7" spans="1:5" ht="30">
      <c r="A7" s="988">
        <v>5</v>
      </c>
      <c r="B7" s="987" t="s">
        <v>2474</v>
      </c>
      <c r="C7" s="986">
        <v>170</v>
      </c>
      <c r="D7" s="986">
        <v>10000</v>
      </c>
      <c r="E7" s="986">
        <f t="shared" si="0"/>
        <v>1700000</v>
      </c>
    </row>
    <row r="8" spans="1:5" ht="30">
      <c r="A8" s="988">
        <v>6</v>
      </c>
      <c r="B8" s="987" t="s">
        <v>2475</v>
      </c>
      <c r="C8" s="986">
        <v>170</v>
      </c>
      <c r="D8" s="986">
        <v>10000</v>
      </c>
      <c r="E8" s="986">
        <f t="shared" si="0"/>
        <v>1700000</v>
      </c>
    </row>
    <row r="9" spans="1:5" ht="15">
      <c r="A9" s="986">
        <v>7</v>
      </c>
      <c r="B9" s="986" t="s">
        <v>2476</v>
      </c>
      <c r="C9" s="986">
        <v>450</v>
      </c>
      <c r="D9" s="986">
        <v>10000</v>
      </c>
      <c r="E9" s="986">
        <f t="shared" si="0"/>
        <v>4500000</v>
      </c>
    </row>
    <row r="10" spans="1:5" ht="15">
      <c r="A10" s="986">
        <v>8</v>
      </c>
      <c r="B10" s="986" t="s">
        <v>2477</v>
      </c>
      <c r="C10" s="986">
        <v>477</v>
      </c>
      <c r="D10" s="986">
        <v>10000</v>
      </c>
      <c r="E10" s="986">
        <f t="shared" si="0"/>
        <v>4770000</v>
      </c>
    </row>
    <row r="11" spans="1:5" ht="15.75">
      <c r="A11" s="1683" t="s">
        <v>2478</v>
      </c>
      <c r="B11" s="1684"/>
      <c r="C11" s="1684"/>
      <c r="D11" s="1685"/>
      <c r="E11" s="989">
        <f>SUM(E3:E10)</f>
        <v>97570000</v>
      </c>
    </row>
  </sheetData>
  <mergeCells count="2">
    <mergeCell ref="A1:E1"/>
    <mergeCell ref="A11:D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husnegt-1 нэгтгэл </vt:lpstr>
      <vt:lpstr>Албадуудын төсөв</vt:lpstr>
      <vt:lpstr>Husnegt-2 oron too</vt:lpstr>
      <vt:lpstr>Husnegt-3 Tsalin (2)</vt:lpstr>
      <vt:lpstr>Husnegt-3 Tsalin</vt:lpstr>
      <vt:lpstr>Тунгалаг</vt:lpstr>
      <vt:lpstr>1</vt:lpstr>
      <vt:lpstr>2</vt:lpstr>
      <vt:lpstr>3</vt:lpstr>
      <vt:lpstr>4</vt:lpstr>
      <vt:lpstr>5</vt:lpstr>
      <vt:lpstr>6</vt:lpstr>
      <vt:lpstr>7</vt:lpstr>
      <vt:lpstr>ETTA</vt:lpstr>
      <vt:lpstr>EMMA</vt:lpstr>
      <vt:lpstr>HNBZA</vt:lpstr>
      <vt:lpstr>Tsalin</vt:lpstr>
      <vt:lpstr>Tsalin1</vt:lpstr>
      <vt:lpstr>husnegt-2 орон тоо</vt:lpstr>
      <vt:lpstr>Магадлан</vt:lpstr>
      <vt:lpstr>Magadlan1</vt:lpstr>
      <vt:lpstr>bichig hereg</vt:lpstr>
      <vt:lpstr>bagaj technik avah</vt:lpstr>
      <vt:lpstr>tavilga avah</vt:lpstr>
      <vt:lpstr>baga unetei turgen elegdeh</vt:lpstr>
      <vt:lpstr>Hudulmur hamgaalal</vt:lpstr>
      <vt:lpstr>Ursgal zasvar1</vt:lpstr>
      <vt:lpstr>Ursgal zasvar</vt:lpstr>
      <vt:lpstr>orlogo, zarlaga</vt:lpstr>
      <vt:lpstr>haruul hamgaalalt</vt:lpstr>
      <vt:lpstr>nemelt</vt:lpstr>
      <vt:lpstr>Turiin_san_surgalt</vt:lpstr>
      <vt:lpstr>tetgemj, shagnal</vt:lpstr>
      <vt:lpstr>dotood alban tomilolt</vt:lpstr>
      <vt:lpstr>TT-iin zasvar</vt:lpstr>
      <vt:lpstr>auto zasvar</vt:lpstr>
      <vt:lpstr>дотоод сургалт</vt:lpstr>
      <vt:lpstr>programm hangamj </vt:lpstr>
      <vt:lpstr>Niisleliin magadlan</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Sheet1</vt:lpstr>
      <vt:lpstr>Sheet2</vt:lpstr>
      <vt:lpstr>Sheet3</vt:lpstr>
      <vt:lpstr>Sheet4</vt:lpstr>
    </vt:vector>
  </TitlesOfParts>
  <Company>MOH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Munkhtsetseg</dc:creator>
  <cp:lastModifiedBy>Tungalag</cp:lastModifiedBy>
  <cp:lastPrinted>2019-07-24T06:05:30Z</cp:lastPrinted>
  <dcterms:created xsi:type="dcterms:W3CDTF">2008-07-03T10:02:00Z</dcterms:created>
  <dcterms:modified xsi:type="dcterms:W3CDTF">2019-07-24T06:25:43Z</dcterms:modified>
</cp:coreProperties>
</file>